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117 Cal y Mayor\2102A117TU TF San Cristobal\02 Fase 2 Factibilidad\01 Documentos\2021-05-25 Observaciones a 1era entrega\"/>
    </mc:Choice>
  </mc:AlternateContent>
  <xr:revisionPtr revIDLastSave="0" documentId="13_ncr:1_{EFB6BFA9-3A98-429C-B891-A17DD373C167}" xr6:coauthVersionLast="47" xr6:coauthVersionMax="47" xr10:uidLastSave="{00000000-0000-0000-0000-000000000000}"/>
  <bookViews>
    <workbookView xWindow="-120" yWindow="-120" windowWidth="29040" windowHeight="15840" tabRatio="761" xr2:uid="{00000000-000D-0000-FFFF-FFFF00000000}"/>
  </bookViews>
  <sheets>
    <sheet name="Caract básicas" sheetId="2" r:id="rId1"/>
    <sheet name="CAPEX" sheetId="19" r:id="rId2"/>
    <sheet name="OPEX" sheetId="3" r:id="rId3"/>
  </sheets>
  <externalReferences>
    <externalReference r:id="rId4"/>
  </externalReferences>
  <definedNames>
    <definedName name="_xlnm.Print_Area" localSheetId="0">'Caract básicas'!$C$1:$E$43</definedName>
    <definedName name="tasa_canvi" localSheetId="2">[1]Presupuesto!#REF!</definedName>
    <definedName name="tasa_canvi">#REF!</definedName>
    <definedName name="tasa_EUR_USD" localSheetId="2">[1]Presupuesto!#REF!</definedName>
    <definedName name="tasa_EUR_US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4" i="2" l="1"/>
  <c r="M4" i="2"/>
  <c r="L4" i="2"/>
  <c r="K4" i="2"/>
  <c r="J4" i="2"/>
  <c r="I4" i="2"/>
  <c r="H4" i="2"/>
  <c r="G4" i="2"/>
  <c r="F4" i="2"/>
  <c r="N13" i="2" l="1"/>
  <c r="M13" i="2"/>
  <c r="L13" i="2"/>
  <c r="K13" i="2"/>
  <c r="J13" i="2"/>
  <c r="I13" i="2"/>
  <c r="H13" i="2"/>
  <c r="G13" i="2"/>
  <c r="F13" i="2"/>
  <c r="H25" i="2"/>
  <c r="J25" i="2"/>
  <c r="J26" i="2" s="1"/>
  <c r="M25" i="2" l="1"/>
  <c r="M26" i="2" s="1"/>
  <c r="L25" i="2"/>
  <c r="L26" i="2" s="1"/>
  <c r="G25" i="2"/>
  <c r="G26" i="2" s="1"/>
  <c r="N25" i="2"/>
  <c r="N26" i="2" s="1"/>
  <c r="K25" i="2"/>
  <c r="K26" i="2" s="1"/>
  <c r="I25" i="2"/>
  <c r="I26" i="2" s="1"/>
  <c r="H26" i="2"/>
  <c r="F25" i="2"/>
  <c r="F26" i="2" s="1"/>
  <c r="AL62" i="3" l="1"/>
  <c r="AM62" i="3" s="1"/>
  <c r="AL61" i="3"/>
  <c r="AM61" i="3" s="1"/>
  <c r="AL60" i="3"/>
  <c r="AM60" i="3" s="1"/>
  <c r="AK56" i="3"/>
  <c r="AK55" i="3"/>
  <c r="AK54" i="3"/>
  <c r="AK53" i="3"/>
  <c r="AK51" i="3"/>
  <c r="AK35" i="3"/>
  <c r="AK16" i="3"/>
  <c r="AK15" i="3"/>
  <c r="AK14" i="3"/>
  <c r="AK13" i="3"/>
  <c r="AK5" i="3"/>
  <c r="AK4" i="3"/>
  <c r="AK3" i="3"/>
  <c r="AK2" i="3"/>
  <c r="AK63" i="3" s="1"/>
  <c r="AK1" i="3"/>
  <c r="AM74" i="3" s="1"/>
  <c r="AH62" i="3"/>
  <c r="AI62" i="3" s="1"/>
  <c r="AH61" i="3"/>
  <c r="AI61" i="3" s="1"/>
  <c r="AH60" i="3"/>
  <c r="AI60" i="3" s="1"/>
  <c r="AG56" i="3"/>
  <c r="AG55" i="3"/>
  <c r="AG54" i="3"/>
  <c r="AG53" i="3"/>
  <c r="AG51" i="3"/>
  <c r="AG35" i="3"/>
  <c r="AG16" i="3"/>
  <c r="AG15" i="3"/>
  <c r="AG14" i="3"/>
  <c r="AG13" i="3"/>
  <c r="AG5" i="3"/>
  <c r="AG4" i="3"/>
  <c r="AG3" i="3"/>
  <c r="AG2" i="3"/>
  <c r="AG63" i="3" s="1"/>
  <c r="AG1" i="3"/>
  <c r="AI74" i="3" s="1"/>
  <c r="AD62" i="3"/>
  <c r="AE62" i="3" s="1"/>
  <c r="AD61" i="3"/>
  <c r="AE61" i="3" s="1"/>
  <c r="AD60" i="3"/>
  <c r="AE60" i="3" s="1"/>
  <c r="AC56" i="3"/>
  <c r="AC55" i="3"/>
  <c r="AC54" i="3"/>
  <c r="AC53" i="3"/>
  <c r="AC51" i="3"/>
  <c r="AC35" i="3"/>
  <c r="AC16" i="3"/>
  <c r="AC15" i="3"/>
  <c r="AC14" i="3"/>
  <c r="AC13" i="3"/>
  <c r="AC5" i="3"/>
  <c r="AC4" i="3"/>
  <c r="AC3" i="3"/>
  <c r="AC2" i="3"/>
  <c r="AC63" i="3" s="1"/>
  <c r="AC1" i="3"/>
  <c r="AE74" i="3" s="1"/>
  <c r="Z62" i="3"/>
  <c r="AA62" i="3" s="1"/>
  <c r="Z61" i="3"/>
  <c r="AA61" i="3" s="1"/>
  <c r="Z60" i="3"/>
  <c r="AA60" i="3" s="1"/>
  <c r="Y56" i="3"/>
  <c r="Y55" i="3"/>
  <c r="Y54" i="3"/>
  <c r="Y53" i="3"/>
  <c r="Y51" i="3"/>
  <c r="Y35" i="3"/>
  <c r="Y16" i="3"/>
  <c r="Y15" i="3"/>
  <c r="Y14" i="3"/>
  <c r="Y13" i="3"/>
  <c r="Y5" i="3"/>
  <c r="Y4" i="3"/>
  <c r="Y3" i="3"/>
  <c r="Y2" i="3"/>
  <c r="Y63" i="3" s="1"/>
  <c r="Y1" i="3"/>
  <c r="AA74" i="3" s="1"/>
  <c r="V62" i="3"/>
  <c r="W62" i="3" s="1"/>
  <c r="V61" i="3"/>
  <c r="W61" i="3" s="1"/>
  <c r="V60" i="3"/>
  <c r="W60" i="3" s="1"/>
  <c r="U56" i="3"/>
  <c r="U55" i="3"/>
  <c r="U54" i="3"/>
  <c r="U53" i="3"/>
  <c r="U51" i="3"/>
  <c r="U35" i="3"/>
  <c r="U16" i="3"/>
  <c r="U15" i="3"/>
  <c r="U14" i="3"/>
  <c r="U13" i="3"/>
  <c r="U5" i="3"/>
  <c r="U4" i="3"/>
  <c r="U3" i="3"/>
  <c r="U2" i="3"/>
  <c r="U63" i="3" s="1"/>
  <c r="U1" i="3"/>
  <c r="W74" i="3" s="1"/>
  <c r="R62" i="3"/>
  <c r="S62" i="3" s="1"/>
  <c r="R61" i="3"/>
  <c r="S61" i="3" s="1"/>
  <c r="R60" i="3"/>
  <c r="S60" i="3" s="1"/>
  <c r="Q56" i="3"/>
  <c r="Q55" i="3"/>
  <c r="Q54" i="3"/>
  <c r="Q53" i="3"/>
  <c r="Q51" i="3"/>
  <c r="Q35" i="3"/>
  <c r="Q16" i="3"/>
  <c r="Q15" i="3"/>
  <c r="Q14" i="3"/>
  <c r="Q13" i="3"/>
  <c r="Q5" i="3"/>
  <c r="Q4" i="3"/>
  <c r="Q3" i="3"/>
  <c r="Q2" i="3"/>
  <c r="Q63" i="3" s="1"/>
  <c r="Q1" i="3"/>
  <c r="S74" i="3" s="1"/>
  <c r="N62" i="3"/>
  <c r="O62" i="3" s="1"/>
  <c r="N61" i="3"/>
  <c r="O61" i="3" s="1"/>
  <c r="N60" i="3"/>
  <c r="O60" i="3" s="1"/>
  <c r="M56" i="3"/>
  <c r="M55" i="3"/>
  <c r="M54" i="3"/>
  <c r="M53" i="3"/>
  <c r="M51" i="3"/>
  <c r="M35" i="3"/>
  <c r="M16" i="3"/>
  <c r="M15" i="3"/>
  <c r="M14" i="3"/>
  <c r="M13" i="3"/>
  <c r="M5" i="3"/>
  <c r="M4" i="3"/>
  <c r="M3" i="3"/>
  <c r="M2" i="3"/>
  <c r="M63" i="3" s="1"/>
  <c r="M1" i="3"/>
  <c r="O74" i="3" s="1"/>
  <c r="J62" i="3"/>
  <c r="K62" i="3" s="1"/>
  <c r="J61" i="3"/>
  <c r="K61" i="3" s="1"/>
  <c r="J60" i="3"/>
  <c r="K60" i="3" s="1"/>
  <c r="I56" i="3"/>
  <c r="I55" i="3"/>
  <c r="I54" i="3"/>
  <c r="I53" i="3"/>
  <c r="I51" i="3"/>
  <c r="I35" i="3"/>
  <c r="I16" i="3"/>
  <c r="I15" i="3"/>
  <c r="I14" i="3"/>
  <c r="I13" i="3"/>
  <c r="I5" i="3"/>
  <c r="I4" i="3"/>
  <c r="I3" i="3"/>
  <c r="I2" i="3"/>
  <c r="I63" i="3" s="1"/>
  <c r="I1" i="3"/>
  <c r="K74" i="3" s="1"/>
  <c r="E56" i="3"/>
  <c r="E55" i="3"/>
  <c r="E54" i="3"/>
  <c r="E53" i="3"/>
  <c r="F62" i="3"/>
  <c r="G62" i="3" s="1"/>
  <c r="F61" i="3"/>
  <c r="G61" i="3" s="1"/>
  <c r="F60" i="3"/>
  <c r="G60" i="3" s="1"/>
  <c r="E51" i="3"/>
  <c r="E35" i="3"/>
  <c r="E16" i="3"/>
  <c r="E15" i="3"/>
  <c r="E14" i="3"/>
  <c r="E13" i="3"/>
  <c r="E5" i="3"/>
  <c r="E4" i="3"/>
  <c r="E3" i="3"/>
  <c r="E2" i="3"/>
  <c r="E63" i="3" s="1"/>
  <c r="E1" i="3"/>
  <c r="G74" i="3" s="1"/>
  <c r="AK57" i="3" l="1"/>
  <c r="I17" i="3"/>
  <c r="Y57" i="3"/>
  <c r="AC17" i="3"/>
  <c r="E57" i="3"/>
  <c r="E17" i="3"/>
  <c r="U17" i="3"/>
  <c r="AG17" i="3"/>
  <c r="M17" i="3"/>
  <c r="M57" i="3"/>
  <c r="Q17" i="3"/>
  <c r="Q57" i="3"/>
  <c r="U57" i="3"/>
  <c r="AC57" i="3"/>
  <c r="AG57" i="3"/>
  <c r="I57" i="3"/>
  <c r="Y17" i="3"/>
  <c r="AK17" i="3"/>
  <c r="AK59" i="3"/>
  <c r="AG59" i="3"/>
  <c r="AC59" i="3"/>
  <c r="Y59" i="3"/>
  <c r="U59" i="3"/>
  <c r="Q59" i="3"/>
  <c r="M59" i="3"/>
  <c r="I59" i="3"/>
  <c r="E59" i="3"/>
  <c r="N30" i="2"/>
  <c r="N21" i="2"/>
  <c r="N12" i="2"/>
  <c r="N11" i="2"/>
  <c r="M30" i="2"/>
  <c r="M21" i="2"/>
  <c r="M12" i="2"/>
  <c r="M11" i="2"/>
  <c r="L30" i="2"/>
  <c r="L21" i="2"/>
  <c r="L12" i="2"/>
  <c r="L11" i="2"/>
  <c r="K30" i="2"/>
  <c r="K21" i="2"/>
  <c r="K12" i="2"/>
  <c r="K11" i="2"/>
  <c r="J30" i="2"/>
  <c r="J21" i="2"/>
  <c r="J12" i="2"/>
  <c r="J11" i="2"/>
  <c r="I30" i="2"/>
  <c r="I21" i="2"/>
  <c r="I12" i="2"/>
  <c r="I11" i="2"/>
  <c r="H30" i="2"/>
  <c r="H21" i="2"/>
  <c r="H12" i="2"/>
  <c r="H11" i="2"/>
  <c r="G30" i="2"/>
  <c r="G21" i="2"/>
  <c r="G12" i="2"/>
  <c r="G11" i="2"/>
  <c r="F30" i="2"/>
  <c r="F21" i="2"/>
  <c r="F12" i="2"/>
  <c r="F11" i="2"/>
  <c r="E66" i="2"/>
  <c r="E64" i="2"/>
  <c r="E53" i="2"/>
  <c r="E52" i="2"/>
  <c r="E51" i="2"/>
  <c r="E50" i="2"/>
  <c r="E49" i="2"/>
  <c r="D67" i="2"/>
  <c r="E67" i="2" s="1"/>
  <c r="B1" i="3" l="1"/>
  <c r="AH59" i="3" s="1"/>
  <c r="AI59" i="3" s="1"/>
  <c r="U7" i="3"/>
  <c r="K22" i="2"/>
  <c r="L22" i="2"/>
  <c r="M22" i="2"/>
  <c r="AK7" i="3"/>
  <c r="J22" i="2"/>
  <c r="Y7" i="3"/>
  <c r="AC7" i="3"/>
  <c r="AG7" i="3"/>
  <c r="N22" i="2"/>
  <c r="E7" i="3"/>
  <c r="F22" i="2"/>
  <c r="I7" i="3"/>
  <c r="G22" i="2"/>
  <c r="M7" i="3"/>
  <c r="H22" i="2"/>
  <c r="Q7" i="3"/>
  <c r="I22" i="2"/>
  <c r="AD56" i="3"/>
  <c r="AE56" i="3" s="1"/>
  <c r="R56" i="3"/>
  <c r="S56" i="3" s="1"/>
  <c r="N56" i="3"/>
  <c r="O56" i="3" s="1"/>
  <c r="J56" i="3"/>
  <c r="K56" i="3" s="1"/>
  <c r="AL56" i="3"/>
  <c r="AM56" i="3" s="1"/>
  <c r="AH56" i="3"/>
  <c r="AI56" i="3" s="1"/>
  <c r="Z56" i="3"/>
  <c r="AA56" i="3" s="1"/>
  <c r="V56" i="3"/>
  <c r="W56" i="3" s="1"/>
  <c r="F56" i="3"/>
  <c r="G56" i="3" s="1"/>
  <c r="R15" i="3"/>
  <c r="S15" i="3" s="1"/>
  <c r="N15" i="3"/>
  <c r="O15" i="3" s="1"/>
  <c r="J15" i="3"/>
  <c r="K15" i="3" s="1"/>
  <c r="AL15" i="3"/>
  <c r="AM15" i="3" s="1"/>
  <c r="AH15" i="3"/>
  <c r="AI15" i="3" s="1"/>
  <c r="Z15" i="3"/>
  <c r="AA15" i="3" s="1"/>
  <c r="V15" i="3"/>
  <c r="W15" i="3" s="1"/>
  <c r="F15" i="3"/>
  <c r="G15" i="3" s="1"/>
  <c r="AD15" i="3"/>
  <c r="AE15" i="3" s="1"/>
  <c r="F19" i="2"/>
  <c r="E6" i="3"/>
  <c r="I34" i="3"/>
  <c r="M8" i="3"/>
  <c r="J19" i="2"/>
  <c r="U6" i="3"/>
  <c r="Y34" i="3"/>
  <c r="AC8" i="3"/>
  <c r="N19" i="2"/>
  <c r="AK6" i="3"/>
  <c r="U34" i="3"/>
  <c r="Y8" i="3"/>
  <c r="AK34" i="3"/>
  <c r="AD12" i="3"/>
  <c r="AE12" i="3" s="1"/>
  <c r="J12" i="3"/>
  <c r="K12" i="3" s="1"/>
  <c r="AH12" i="3"/>
  <c r="AI12" i="3" s="1"/>
  <c r="V12" i="3"/>
  <c r="W12" i="3" s="1"/>
  <c r="AL12" i="3"/>
  <c r="AM12" i="3" s="1"/>
  <c r="Z12" i="3"/>
  <c r="AA12" i="3" s="1"/>
  <c r="R12" i="3"/>
  <c r="S12" i="3" s="1"/>
  <c r="F12" i="3"/>
  <c r="G12" i="3" s="1"/>
  <c r="N12" i="3"/>
  <c r="O12" i="3" s="1"/>
  <c r="E34" i="3"/>
  <c r="I8" i="3"/>
  <c r="I19" i="2"/>
  <c r="Q6" i="3"/>
  <c r="AH13" i="3"/>
  <c r="AI13" i="3" s="1"/>
  <c r="V13" i="3"/>
  <c r="W13" i="3" s="1"/>
  <c r="AD13" i="3"/>
  <c r="AE13" i="3" s="1"/>
  <c r="J13" i="3"/>
  <c r="K13" i="3" s="1"/>
  <c r="N13" i="3"/>
  <c r="O13" i="3" s="1"/>
  <c r="F13" i="3"/>
  <c r="G13" i="3" s="1"/>
  <c r="AL13" i="3"/>
  <c r="AM13" i="3" s="1"/>
  <c r="Z13" i="3"/>
  <c r="AA13" i="3" s="1"/>
  <c r="R13" i="3"/>
  <c r="S13" i="3" s="1"/>
  <c r="AL53" i="3"/>
  <c r="AM53" i="3" s="1"/>
  <c r="Z53" i="3"/>
  <c r="AA53" i="3" s="1"/>
  <c r="N53" i="3"/>
  <c r="O53" i="3" s="1"/>
  <c r="AD53" i="3"/>
  <c r="AE53" i="3" s="1"/>
  <c r="R53" i="3"/>
  <c r="S53" i="3" s="1"/>
  <c r="J53" i="3"/>
  <c r="K53" i="3" s="1"/>
  <c r="F53" i="3"/>
  <c r="G53" i="3" s="1"/>
  <c r="AH53" i="3"/>
  <c r="AI53" i="3" s="1"/>
  <c r="V53" i="3"/>
  <c r="W53" i="3" s="1"/>
  <c r="AH55" i="3"/>
  <c r="AI55" i="3" s="1"/>
  <c r="AD55" i="3"/>
  <c r="AE55" i="3" s="1"/>
  <c r="V55" i="3"/>
  <c r="W55" i="3" s="1"/>
  <c r="R55" i="3"/>
  <c r="S55" i="3" s="1"/>
  <c r="N55" i="3"/>
  <c r="O55" i="3" s="1"/>
  <c r="J55" i="3"/>
  <c r="K55" i="3" s="1"/>
  <c r="F55" i="3"/>
  <c r="G55" i="3" s="1"/>
  <c r="AL55" i="3"/>
  <c r="AM55" i="3" s="1"/>
  <c r="Z55" i="3"/>
  <c r="AA55" i="3" s="1"/>
  <c r="E8" i="3"/>
  <c r="H19" i="2"/>
  <c r="M6" i="3"/>
  <c r="Q34" i="3"/>
  <c r="U8" i="3"/>
  <c r="L19" i="2"/>
  <c r="AC6" i="3"/>
  <c r="AG34" i="3"/>
  <c r="AK8" i="3"/>
  <c r="AL16" i="3"/>
  <c r="AM16" i="3" s="1"/>
  <c r="AH16" i="3"/>
  <c r="AI16" i="3" s="1"/>
  <c r="Z16" i="3"/>
  <c r="AA16" i="3" s="1"/>
  <c r="V16" i="3"/>
  <c r="W16" i="3" s="1"/>
  <c r="R16" i="3"/>
  <c r="S16" i="3" s="1"/>
  <c r="N16" i="3"/>
  <c r="O16" i="3" s="1"/>
  <c r="J16" i="3"/>
  <c r="K16" i="3" s="1"/>
  <c r="F16" i="3"/>
  <c r="G16" i="3" s="1"/>
  <c r="AD16" i="3"/>
  <c r="AE16" i="3" s="1"/>
  <c r="M19" i="2"/>
  <c r="AG6" i="3"/>
  <c r="AL14" i="3"/>
  <c r="AM14" i="3" s="1"/>
  <c r="Z14" i="3"/>
  <c r="AA14" i="3" s="1"/>
  <c r="R14" i="3"/>
  <c r="S14" i="3" s="1"/>
  <c r="N14" i="3"/>
  <c r="O14" i="3" s="1"/>
  <c r="J14" i="3"/>
  <c r="K14" i="3" s="1"/>
  <c r="F14" i="3"/>
  <c r="G14" i="3" s="1"/>
  <c r="AH14" i="3"/>
  <c r="AI14" i="3" s="1"/>
  <c r="AD14" i="3"/>
  <c r="AE14" i="3" s="1"/>
  <c r="V14" i="3"/>
  <c r="W14" i="3" s="1"/>
  <c r="G19" i="2"/>
  <c r="I6" i="3"/>
  <c r="M34" i="3"/>
  <c r="Q8" i="3"/>
  <c r="K19" i="2"/>
  <c r="Y6" i="3"/>
  <c r="AC34" i="3"/>
  <c r="AG8" i="3"/>
  <c r="J37" i="19"/>
  <c r="K37" i="19" s="1"/>
  <c r="J14" i="19"/>
  <c r="AL37" i="19"/>
  <c r="AM37" i="19" s="1"/>
  <c r="AH37" i="19"/>
  <c r="AI37" i="19" s="1"/>
  <c r="AD37" i="19"/>
  <c r="AE37" i="19" s="1"/>
  <c r="Z37" i="19"/>
  <c r="AA37" i="19" s="1"/>
  <c r="V37" i="19"/>
  <c r="W37" i="19" s="1"/>
  <c r="R37" i="19"/>
  <c r="S37" i="19" s="1"/>
  <c r="N37" i="19"/>
  <c r="O37" i="19" s="1"/>
  <c r="N14" i="19"/>
  <c r="N16" i="2"/>
  <c r="N18" i="2" s="1"/>
  <c r="N23" i="2" s="1"/>
  <c r="M16" i="2"/>
  <c r="M18" i="2" s="1"/>
  <c r="M23" i="2" s="1"/>
  <c r="L16" i="2"/>
  <c r="L18" i="2" s="1"/>
  <c r="L23" i="2" s="1"/>
  <c r="K16" i="2"/>
  <c r="K18" i="2" s="1"/>
  <c r="K23" i="2" s="1"/>
  <c r="J16" i="2"/>
  <c r="J18" i="2" s="1"/>
  <c r="J23" i="2" s="1"/>
  <c r="I16" i="2"/>
  <c r="I18" i="2" s="1"/>
  <c r="I23" i="2" s="1"/>
  <c r="H16" i="2"/>
  <c r="H18" i="2" s="1"/>
  <c r="H23" i="2" s="1"/>
  <c r="G16" i="2"/>
  <c r="G18" i="2" s="1"/>
  <c r="G23" i="2" s="1"/>
  <c r="F37" i="19"/>
  <c r="G37" i="19" s="1"/>
  <c r="F14" i="19"/>
  <c r="F16" i="2"/>
  <c r="F18" i="2" s="1"/>
  <c r="F23" i="2" s="1"/>
  <c r="D65" i="2"/>
  <c r="E65" i="2" s="1"/>
  <c r="E12" i="2"/>
  <c r="O14" i="19" l="1"/>
  <c r="G14" i="19"/>
  <c r="K14" i="19"/>
  <c r="R59" i="3"/>
  <c r="S59" i="3" s="1"/>
  <c r="Z63" i="3"/>
  <c r="AA63" i="3" s="1"/>
  <c r="J62" i="19"/>
  <c r="K62" i="19" s="1"/>
  <c r="N63" i="3"/>
  <c r="O63" i="3" s="1"/>
  <c r="R63" i="3"/>
  <c r="S63" i="3" s="1"/>
  <c r="J63" i="3"/>
  <c r="K63" i="3" s="1"/>
  <c r="V63" i="3"/>
  <c r="W63" i="3" s="1"/>
  <c r="V59" i="3"/>
  <c r="W59" i="3" s="1"/>
  <c r="F63" i="3"/>
  <c r="G63" i="3" s="1"/>
  <c r="Z59" i="3"/>
  <c r="AA59" i="3" s="1"/>
  <c r="F62" i="19"/>
  <c r="G62" i="19" s="1"/>
  <c r="AD59" i="3"/>
  <c r="AE59" i="3" s="1"/>
  <c r="AH63" i="3"/>
  <c r="AI63" i="3" s="1"/>
  <c r="AI64" i="3" s="1"/>
  <c r="AL59" i="3"/>
  <c r="AM59" i="3" s="1"/>
  <c r="AD63" i="3"/>
  <c r="AE63" i="3" s="1"/>
  <c r="F59" i="3"/>
  <c r="G59" i="3" s="1"/>
  <c r="N59" i="3"/>
  <c r="O59" i="3" s="1"/>
  <c r="J59" i="3"/>
  <c r="K59" i="3" s="1"/>
  <c r="AL63" i="3"/>
  <c r="AM63" i="3" s="1"/>
  <c r="J15" i="19"/>
  <c r="K15" i="19" s="1"/>
  <c r="F60" i="19"/>
  <c r="G60" i="19" s="1"/>
  <c r="J60" i="19"/>
  <c r="K60" i="19" s="1"/>
  <c r="R60" i="19"/>
  <c r="S60" i="19" s="1"/>
  <c r="F15" i="19"/>
  <c r="G15" i="19" s="1"/>
  <c r="AI17" i="3"/>
  <c r="AI75" i="3" s="1"/>
  <c r="AH25" i="19"/>
  <c r="AI25" i="19" s="1"/>
  <c r="N15" i="19"/>
  <c r="O15" i="19" s="1"/>
  <c r="M9" i="3"/>
  <c r="S17" i="3"/>
  <c r="S75" i="3" s="1"/>
  <c r="Q9" i="3"/>
  <c r="AG9" i="3"/>
  <c r="O17" i="3"/>
  <c r="O75" i="3" s="1"/>
  <c r="AA17" i="3"/>
  <c r="AA75" i="3" s="1"/>
  <c r="K17" i="3"/>
  <c r="K75" i="3" s="1"/>
  <c r="G17" i="3"/>
  <c r="G75" i="3" s="1"/>
  <c r="AM17" i="3"/>
  <c r="AM75" i="3" s="1"/>
  <c r="AE17" i="3"/>
  <c r="AE75" i="3" s="1"/>
  <c r="AC9" i="3"/>
  <c r="AL54" i="3"/>
  <c r="AM54" i="3" s="1"/>
  <c r="AM57" i="3" s="1"/>
  <c r="Z54" i="3"/>
  <c r="AA54" i="3" s="1"/>
  <c r="AA57" i="3" s="1"/>
  <c r="AD54" i="3"/>
  <c r="AE54" i="3" s="1"/>
  <c r="AE57" i="3" s="1"/>
  <c r="R54" i="3"/>
  <c r="S54" i="3" s="1"/>
  <c r="S57" i="3" s="1"/>
  <c r="J54" i="3"/>
  <c r="K54" i="3" s="1"/>
  <c r="K57" i="3" s="1"/>
  <c r="AH54" i="3"/>
  <c r="AI54" i="3" s="1"/>
  <c r="AI57" i="3" s="1"/>
  <c r="V54" i="3"/>
  <c r="W54" i="3" s="1"/>
  <c r="W57" i="3" s="1"/>
  <c r="N54" i="3"/>
  <c r="O54" i="3" s="1"/>
  <c r="O57" i="3" s="1"/>
  <c r="F54" i="3"/>
  <c r="G54" i="3" s="1"/>
  <c r="G57" i="3" s="1"/>
  <c r="U9" i="3"/>
  <c r="AK9" i="3"/>
  <c r="E9" i="3"/>
  <c r="I9" i="3"/>
  <c r="Y9" i="3"/>
  <c r="Z25" i="19"/>
  <c r="AA25" i="19" s="1"/>
  <c r="W17" i="3"/>
  <c r="W75" i="3" s="1"/>
  <c r="V60" i="19"/>
  <c r="W60" i="19" s="1"/>
  <c r="V62" i="19"/>
  <c r="W62" i="19" s="1"/>
  <c r="J25" i="19"/>
  <c r="K25" i="19" s="1"/>
  <c r="N60" i="19"/>
  <c r="O60" i="19" s="1"/>
  <c r="N25" i="19"/>
  <c r="O25" i="19" s="1"/>
  <c r="AL25" i="19"/>
  <c r="AM25" i="19" s="1"/>
  <c r="Z61" i="19"/>
  <c r="AA61" i="19" s="1"/>
  <c r="AL31" i="19"/>
  <c r="AM31" i="19" s="1"/>
  <c r="AL51" i="19"/>
  <c r="AM51" i="19" s="1"/>
  <c r="AL46" i="19"/>
  <c r="AM46" i="19" s="1"/>
  <c r="AL33" i="19"/>
  <c r="AM33" i="19" s="1"/>
  <c r="AL17" i="19"/>
  <c r="V51" i="19"/>
  <c r="W51" i="19" s="1"/>
  <c r="V31" i="19"/>
  <c r="W31" i="19" s="1"/>
  <c r="V46" i="19"/>
  <c r="W46" i="19" s="1"/>
  <c r="V33" i="19"/>
  <c r="W33" i="19" s="1"/>
  <c r="V17" i="19"/>
  <c r="J46" i="19"/>
  <c r="K46" i="19" s="1"/>
  <c r="J31" i="19"/>
  <c r="K31" i="19" s="1"/>
  <c r="J17" i="19"/>
  <c r="J33" i="19"/>
  <c r="K33" i="19" s="1"/>
  <c r="J51" i="19"/>
  <c r="K51" i="19" s="1"/>
  <c r="N46" i="19"/>
  <c r="O46" i="19" s="1"/>
  <c r="N33" i="19"/>
  <c r="O33" i="19" s="1"/>
  <c r="N17" i="19"/>
  <c r="N31" i="19"/>
  <c r="O31" i="19" s="1"/>
  <c r="N51" i="19"/>
  <c r="O51" i="19" s="1"/>
  <c r="AD51" i="19"/>
  <c r="AE51" i="19" s="1"/>
  <c r="AD31" i="19"/>
  <c r="AE31" i="19" s="1"/>
  <c r="AD17" i="19"/>
  <c r="AD46" i="19"/>
  <c r="AE46" i="19" s="1"/>
  <c r="AD33" i="19"/>
  <c r="AE33" i="19" s="1"/>
  <c r="Z46" i="19"/>
  <c r="AA46" i="19" s="1"/>
  <c r="Z33" i="19"/>
  <c r="AA33" i="19" s="1"/>
  <c r="Z17" i="19"/>
  <c r="Z31" i="19"/>
  <c r="AA31" i="19" s="1"/>
  <c r="Z51" i="19"/>
  <c r="AA51" i="19" s="1"/>
  <c r="F61" i="19"/>
  <c r="G61" i="19" s="1"/>
  <c r="R17" i="19"/>
  <c r="R46" i="19"/>
  <c r="S46" i="19" s="1"/>
  <c r="R31" i="19"/>
  <c r="S31" i="19" s="1"/>
  <c r="R33" i="19"/>
  <c r="S33" i="19" s="1"/>
  <c r="R51" i="19"/>
  <c r="S51" i="19" s="1"/>
  <c r="AH33" i="19"/>
  <c r="AI33" i="19" s="1"/>
  <c r="AH17" i="19"/>
  <c r="AH51" i="19"/>
  <c r="AI51" i="19" s="1"/>
  <c r="AH31" i="19"/>
  <c r="AI31" i="19" s="1"/>
  <c r="AH46" i="19"/>
  <c r="AI46" i="19" s="1"/>
  <c r="J61" i="19"/>
  <c r="K61" i="19" s="1"/>
  <c r="AL60" i="19"/>
  <c r="AM60" i="19" s="1"/>
  <c r="R61" i="19"/>
  <c r="S61" i="19" s="1"/>
  <c r="V25" i="19"/>
  <c r="W25" i="19" s="1"/>
  <c r="R25" i="19"/>
  <c r="S25" i="19" s="1"/>
  <c r="AD25" i="19"/>
  <c r="AE25" i="19" s="1"/>
  <c r="AL62" i="19"/>
  <c r="AM62" i="19" s="1"/>
  <c r="N61" i="19"/>
  <c r="O61" i="19" s="1"/>
  <c r="R62" i="19"/>
  <c r="S62" i="19" s="1"/>
  <c r="Z60" i="19"/>
  <c r="AA60" i="19" s="1"/>
  <c r="AH61" i="19"/>
  <c r="AI61" i="19" s="1"/>
  <c r="N62" i="19"/>
  <c r="O62" i="19" s="1"/>
  <c r="V61" i="19"/>
  <c r="W61" i="19" s="1"/>
  <c r="F25" i="19"/>
  <c r="G25" i="19" s="1"/>
  <c r="AL61" i="19"/>
  <c r="AM61" i="19" s="1"/>
  <c r="AH62" i="19"/>
  <c r="AI62" i="19" s="1"/>
  <c r="AH60" i="19"/>
  <c r="AD60" i="19"/>
  <c r="AD61" i="19"/>
  <c r="AE61" i="19" s="1"/>
  <c r="AD62" i="19"/>
  <c r="AE62" i="19" s="1"/>
  <c r="Z62" i="19"/>
  <c r="AA62" i="19" s="1"/>
  <c r="F51" i="19"/>
  <c r="F31" i="19"/>
  <c r="G31" i="19" s="1"/>
  <c r="F33" i="19"/>
  <c r="G33" i="19" s="1"/>
  <c r="F46" i="19"/>
  <c r="G46" i="19" s="1"/>
  <c r="F17" i="19"/>
  <c r="F105" i="19" s="1"/>
  <c r="G105" i="19" s="1"/>
  <c r="E25" i="2"/>
  <c r="E26" i="2"/>
  <c r="E24" i="2"/>
  <c r="E6" i="2"/>
  <c r="E4" i="2"/>
  <c r="AA64" i="3" l="1"/>
  <c r="AA66" i="3" s="1"/>
  <c r="S64" i="3"/>
  <c r="S66" i="3" s="1"/>
  <c r="K17" i="19"/>
  <c r="J105" i="19"/>
  <c r="K105" i="19" s="1"/>
  <c r="AI17" i="19"/>
  <c r="AH105" i="19"/>
  <c r="AI105" i="19" s="1"/>
  <c r="AE17" i="19"/>
  <c r="AD105" i="19"/>
  <c r="AE105" i="19" s="1"/>
  <c r="W17" i="19"/>
  <c r="V105" i="19"/>
  <c r="W105" i="19" s="1"/>
  <c r="G64" i="3"/>
  <c r="G66" i="3" s="1"/>
  <c r="S17" i="19"/>
  <c r="R105" i="19"/>
  <c r="S105" i="19" s="1"/>
  <c r="O17" i="19"/>
  <c r="N105" i="19"/>
  <c r="O105" i="19" s="1"/>
  <c r="AE64" i="3"/>
  <c r="AE66" i="3" s="1"/>
  <c r="AA17" i="19"/>
  <c r="Z105" i="19"/>
  <c r="AA105" i="19" s="1"/>
  <c r="AM17" i="19"/>
  <c r="AL105" i="19"/>
  <c r="AM105" i="19" s="1"/>
  <c r="K64" i="3"/>
  <c r="K66" i="3" s="1"/>
  <c r="AM64" i="3"/>
  <c r="AM66" i="3" s="1"/>
  <c r="O64" i="3"/>
  <c r="O66" i="3" s="1"/>
  <c r="W64" i="3"/>
  <c r="W66" i="3" s="1"/>
  <c r="AI66" i="3"/>
  <c r="AI60" i="19"/>
  <c r="AE60" i="19"/>
  <c r="G17" i="19"/>
  <c r="G51" i="19"/>
  <c r="D54" i="3" l="1"/>
  <c r="D55" i="3"/>
  <c r="D56" i="3"/>
  <c r="D53" i="3"/>
  <c r="D42" i="3"/>
  <c r="D43" i="3"/>
  <c r="D44" i="3"/>
  <c r="D45" i="3"/>
  <c r="D46" i="3"/>
  <c r="D47" i="3"/>
  <c r="D48" i="3"/>
  <c r="D49" i="3"/>
  <c r="D50" i="3"/>
  <c r="D41" i="3"/>
  <c r="D13" i="3"/>
  <c r="D14" i="3"/>
  <c r="D15" i="3"/>
  <c r="D16" i="3"/>
  <c r="D12" i="3"/>
  <c r="L32" i="2" l="1"/>
  <c r="F32" i="2"/>
  <c r="G32" i="2"/>
  <c r="M32" i="2"/>
  <c r="J32" i="2"/>
  <c r="H32" i="2"/>
  <c r="I32" i="2"/>
  <c r="N32" i="2"/>
  <c r="K32" i="2"/>
  <c r="AH63" i="19"/>
  <c r="V63" i="19"/>
  <c r="J63" i="19"/>
  <c r="AL63" i="19"/>
  <c r="Z63" i="19"/>
  <c r="N63" i="19"/>
  <c r="AD63" i="19"/>
  <c r="R63" i="19"/>
  <c r="F63" i="19"/>
  <c r="AM36" i="3" l="1"/>
  <c r="AM77" i="3" s="1"/>
  <c r="S36" i="3"/>
  <c r="S77" i="3" s="1"/>
  <c r="AA36" i="3"/>
  <c r="AA77" i="3" s="1"/>
  <c r="AI36" i="3"/>
  <c r="AI77" i="3" s="1"/>
  <c r="G36" i="3"/>
  <c r="G77" i="3" s="1"/>
  <c r="O36" i="3"/>
  <c r="O77" i="3" s="1"/>
  <c r="K36" i="3"/>
  <c r="K77" i="3" s="1"/>
  <c r="AE36" i="3"/>
  <c r="AE77" i="3" s="1"/>
  <c r="W36" i="3"/>
  <c r="W77" i="3" s="1"/>
  <c r="S63" i="19"/>
  <c r="K63" i="19"/>
  <c r="W63" i="19"/>
  <c r="AE63" i="19"/>
  <c r="AM63" i="19"/>
  <c r="O63" i="19"/>
  <c r="AA63" i="19"/>
  <c r="AI63" i="19"/>
  <c r="G63" i="19"/>
  <c r="E11" i="2" l="1"/>
  <c r="F30" i="19" l="1"/>
  <c r="V30" i="19"/>
  <c r="V107" i="19" s="1"/>
  <c r="W107" i="19" s="1"/>
  <c r="AD30" i="19"/>
  <c r="AD107" i="19" s="1"/>
  <c r="AE107" i="19" s="1"/>
  <c r="AL30" i="19"/>
  <c r="AL107" i="19" s="1"/>
  <c r="AM107" i="19" s="1"/>
  <c r="R30" i="19"/>
  <c r="R107" i="19" s="1"/>
  <c r="S107" i="19" s="1"/>
  <c r="N30" i="19"/>
  <c r="N107" i="19" s="1"/>
  <c r="O107" i="19" s="1"/>
  <c r="Z30" i="19"/>
  <c r="Z107" i="19" s="1"/>
  <c r="AA107" i="19" s="1"/>
  <c r="AH30" i="19"/>
  <c r="AH107" i="19" s="1"/>
  <c r="AI107" i="19" s="1"/>
  <c r="J30" i="19"/>
  <c r="J107" i="19" s="1"/>
  <c r="K107" i="19" s="1"/>
  <c r="G30" i="19" l="1"/>
  <c r="F107" i="19"/>
  <c r="G107" i="19" s="1"/>
  <c r="AM30" i="19"/>
  <c r="AA30" i="19"/>
  <c r="O30" i="19"/>
  <c r="W30" i="19"/>
  <c r="AI30" i="19"/>
  <c r="AE30" i="19"/>
  <c r="K30" i="19"/>
  <c r="S30" i="19"/>
  <c r="Z14" i="19" l="1"/>
  <c r="R14" i="19"/>
  <c r="V14" i="19"/>
  <c r="AH14" i="19"/>
  <c r="AL14" i="19"/>
  <c r="AD14" i="19"/>
  <c r="V15" i="19"/>
  <c r="W15" i="19" s="1"/>
  <c r="Z15" i="19"/>
  <c r="AA15" i="19" s="1"/>
  <c r="AH15" i="19"/>
  <c r="AI15" i="19" s="1"/>
  <c r="R15" i="19"/>
  <c r="S15" i="19" s="1"/>
  <c r="AD15" i="19"/>
  <c r="AE15" i="19" s="1"/>
  <c r="AL15" i="19"/>
  <c r="AM15" i="19" s="1"/>
  <c r="F64" i="19"/>
  <c r="AL64" i="19"/>
  <c r="R64" i="19"/>
  <c r="Z64" i="19"/>
  <c r="V64" i="19"/>
  <c r="N64" i="19"/>
  <c r="AD64" i="19"/>
  <c r="J64" i="19"/>
  <c r="AH64" i="19"/>
  <c r="F48" i="19"/>
  <c r="G48" i="19" s="1"/>
  <c r="AH48" i="19"/>
  <c r="AI48" i="19" s="1"/>
  <c r="R48" i="19"/>
  <c r="S48" i="19" s="1"/>
  <c r="AL48" i="19"/>
  <c r="AM48" i="19" s="1"/>
  <c r="AD48" i="19"/>
  <c r="AE48" i="19" s="1"/>
  <c r="J48" i="19"/>
  <c r="K48" i="19" s="1"/>
  <c r="N48" i="19"/>
  <c r="O48" i="19" s="1"/>
  <c r="Z48" i="19"/>
  <c r="AA48" i="19" s="1"/>
  <c r="V48" i="19"/>
  <c r="W48" i="19" s="1"/>
  <c r="F35" i="19"/>
  <c r="AH35" i="19"/>
  <c r="AD35" i="19"/>
  <c r="R35" i="19"/>
  <c r="J35" i="19"/>
  <c r="Z35" i="19"/>
  <c r="V35" i="19"/>
  <c r="N35" i="19"/>
  <c r="AL35" i="19"/>
  <c r="F65" i="19"/>
  <c r="G65" i="19" s="1"/>
  <c r="AL65" i="19"/>
  <c r="AM65" i="19" s="1"/>
  <c r="AD65" i="19"/>
  <c r="AE65" i="19" s="1"/>
  <c r="AH65" i="19"/>
  <c r="AI65" i="19" s="1"/>
  <c r="R65" i="19"/>
  <c r="S65" i="19" s="1"/>
  <c r="Z65" i="19"/>
  <c r="AA65" i="19" s="1"/>
  <c r="V65" i="19"/>
  <c r="W65" i="19" s="1"/>
  <c r="N65" i="19"/>
  <c r="O65" i="19" s="1"/>
  <c r="J65" i="19"/>
  <c r="K65" i="19" s="1"/>
  <c r="F23" i="19"/>
  <c r="G23" i="19" s="1"/>
  <c r="AL23" i="19"/>
  <c r="AM23" i="19" s="1"/>
  <c r="V23" i="19"/>
  <c r="W23" i="19" s="1"/>
  <c r="AD23" i="19"/>
  <c r="AE23" i="19" s="1"/>
  <c r="Z23" i="19"/>
  <c r="AA23" i="19" s="1"/>
  <c r="J23" i="19"/>
  <c r="K23" i="19" s="1"/>
  <c r="AH23" i="19"/>
  <c r="AI23" i="19" s="1"/>
  <c r="R23" i="19"/>
  <c r="S23" i="19" s="1"/>
  <c r="N23" i="19"/>
  <c r="O23" i="19" s="1"/>
  <c r="F11" i="19"/>
  <c r="G11" i="19" s="1"/>
  <c r="AH11" i="19"/>
  <c r="AI11" i="19" s="1"/>
  <c r="Z11" i="19"/>
  <c r="AA11" i="19" s="1"/>
  <c r="R11" i="19"/>
  <c r="S11" i="19" s="1"/>
  <c r="AD11" i="19"/>
  <c r="AE11" i="19" s="1"/>
  <c r="AL11" i="19"/>
  <c r="AM11" i="19" s="1"/>
  <c r="N11" i="19"/>
  <c r="O11" i="19" s="1"/>
  <c r="J11" i="19"/>
  <c r="K11" i="19" s="1"/>
  <c r="V11" i="19"/>
  <c r="W11" i="19" s="1"/>
  <c r="F10" i="19"/>
  <c r="G10" i="19" s="1"/>
  <c r="V10" i="19"/>
  <c r="W10" i="19" s="1"/>
  <c r="R10" i="19"/>
  <c r="S10" i="19" s="1"/>
  <c r="N10" i="19"/>
  <c r="O10" i="19" s="1"/>
  <c r="J10" i="19"/>
  <c r="K10" i="19" s="1"/>
  <c r="AH10" i="19"/>
  <c r="AI10" i="19" s="1"/>
  <c r="AL10" i="19"/>
  <c r="AM10" i="19" s="1"/>
  <c r="AD10" i="19"/>
  <c r="AE10" i="19" s="1"/>
  <c r="Z10" i="19"/>
  <c r="AA10" i="19" s="1"/>
  <c r="F26" i="19"/>
  <c r="G26" i="19" s="1"/>
  <c r="AL26" i="19"/>
  <c r="R26" i="19"/>
  <c r="AH26" i="19"/>
  <c r="Z26" i="19"/>
  <c r="N26" i="19"/>
  <c r="J26" i="19"/>
  <c r="V26" i="19"/>
  <c r="AD26" i="19"/>
  <c r="V55" i="19"/>
  <c r="W55" i="19" s="1"/>
  <c r="AL55" i="19"/>
  <c r="AM55" i="19" s="1"/>
  <c r="AH55" i="19"/>
  <c r="AI55" i="19" s="1"/>
  <c r="Z55" i="19"/>
  <c r="AA55" i="19" s="1"/>
  <c r="AD55" i="19"/>
  <c r="AE55" i="19" s="1"/>
  <c r="R55" i="19"/>
  <c r="S55" i="19" s="1"/>
  <c r="AL54" i="19"/>
  <c r="V54" i="19"/>
  <c r="R54" i="19"/>
  <c r="AD54" i="19"/>
  <c r="Z54" i="19"/>
  <c r="AH54" i="19"/>
  <c r="F40" i="19"/>
  <c r="G40" i="19" s="1"/>
  <c r="Z40" i="19"/>
  <c r="AL40" i="19"/>
  <c r="V40" i="19"/>
  <c r="AH40" i="19"/>
  <c r="N40" i="19"/>
  <c r="AD40" i="19"/>
  <c r="J40" i="19"/>
  <c r="R40" i="19"/>
  <c r="AH56" i="19"/>
  <c r="AI56" i="19" s="1"/>
  <c r="Z56" i="19"/>
  <c r="AA56" i="19" s="1"/>
  <c r="AD56" i="19"/>
  <c r="AE56" i="19" s="1"/>
  <c r="AL56" i="19"/>
  <c r="AM56" i="19" s="1"/>
  <c r="R56" i="19"/>
  <c r="S56" i="19" s="1"/>
  <c r="V56" i="19"/>
  <c r="W56" i="19" s="1"/>
  <c r="F32" i="19"/>
  <c r="G32" i="19" s="1"/>
  <c r="AD32" i="19"/>
  <c r="V32" i="19"/>
  <c r="R32" i="19"/>
  <c r="AL32" i="19"/>
  <c r="Z32" i="19"/>
  <c r="N32" i="19"/>
  <c r="J32" i="19"/>
  <c r="AH32" i="19"/>
  <c r="F47" i="19"/>
  <c r="G47" i="19" s="1"/>
  <c r="V47" i="19"/>
  <c r="W47" i="19" s="1"/>
  <c r="AD47" i="19"/>
  <c r="AE47" i="19" s="1"/>
  <c r="Z47" i="19"/>
  <c r="AA47" i="19" s="1"/>
  <c r="AL47" i="19"/>
  <c r="AM47" i="19" s="1"/>
  <c r="AH47" i="19"/>
  <c r="AI47" i="19" s="1"/>
  <c r="R47" i="19"/>
  <c r="S47" i="19" s="1"/>
  <c r="N47" i="19"/>
  <c r="O47" i="19" s="1"/>
  <c r="J47" i="19"/>
  <c r="K47" i="19" s="1"/>
  <c r="F36" i="19"/>
  <c r="G36" i="19" s="1"/>
  <c r="AL36" i="19"/>
  <c r="AM36" i="19" s="1"/>
  <c r="J36" i="19"/>
  <c r="K36" i="19" s="1"/>
  <c r="AH36" i="19"/>
  <c r="AI36" i="19" s="1"/>
  <c r="R36" i="19"/>
  <c r="S36" i="19" s="1"/>
  <c r="AD36" i="19"/>
  <c r="AE36" i="19" s="1"/>
  <c r="Z36" i="19"/>
  <c r="AA36" i="19" s="1"/>
  <c r="V36" i="19"/>
  <c r="W36" i="19" s="1"/>
  <c r="N36" i="19"/>
  <c r="O36" i="19" s="1"/>
  <c r="F52" i="19"/>
  <c r="G52" i="19" s="1"/>
  <c r="AD52" i="19"/>
  <c r="AE52" i="19" s="1"/>
  <c r="V52" i="19"/>
  <c r="W52" i="19" s="1"/>
  <c r="R52" i="19"/>
  <c r="S52" i="19" s="1"/>
  <c r="AL52" i="19"/>
  <c r="AM52" i="19" s="1"/>
  <c r="Z52" i="19"/>
  <c r="AA52" i="19" s="1"/>
  <c r="AH52" i="19"/>
  <c r="AI52" i="19" s="1"/>
  <c r="J52" i="19"/>
  <c r="K52" i="19" s="1"/>
  <c r="N52" i="19"/>
  <c r="O52" i="19" s="1"/>
  <c r="F43" i="19"/>
  <c r="G43" i="19" s="1"/>
  <c r="AD43" i="19"/>
  <c r="R43" i="19"/>
  <c r="Z43" i="19"/>
  <c r="N43" i="19"/>
  <c r="AH43" i="19"/>
  <c r="V43" i="19"/>
  <c r="J43" i="19"/>
  <c r="AL43" i="19"/>
  <c r="F6" i="19"/>
  <c r="AD6" i="19"/>
  <c r="R6" i="19"/>
  <c r="V6" i="19"/>
  <c r="AL6" i="19"/>
  <c r="AH6" i="19"/>
  <c r="J6" i="19"/>
  <c r="N6" i="19"/>
  <c r="Z6" i="19"/>
  <c r="J27" i="19"/>
  <c r="AH27" i="19"/>
  <c r="AL27" i="19"/>
  <c r="AD27" i="19"/>
  <c r="N27" i="19"/>
  <c r="V27" i="19"/>
  <c r="Z27" i="19"/>
  <c r="R27" i="19"/>
  <c r="J28" i="19"/>
  <c r="K28" i="19" s="1"/>
  <c r="Z28" i="19"/>
  <c r="AA28" i="19" s="1"/>
  <c r="V28" i="19"/>
  <c r="W28" i="19" s="1"/>
  <c r="AH28" i="19"/>
  <c r="AI28" i="19" s="1"/>
  <c r="AD28" i="19"/>
  <c r="AE28" i="19" s="1"/>
  <c r="R28" i="19"/>
  <c r="S28" i="19" s="1"/>
  <c r="N28" i="19"/>
  <c r="O28" i="19" s="1"/>
  <c r="AL28" i="19"/>
  <c r="AM28" i="19" s="1"/>
  <c r="F38" i="19"/>
  <c r="G38" i="19" s="1"/>
  <c r="Z38" i="19"/>
  <c r="AA38" i="19" s="1"/>
  <c r="AD38" i="19"/>
  <c r="AE38" i="19" s="1"/>
  <c r="J38" i="19"/>
  <c r="K38" i="19" s="1"/>
  <c r="AH38" i="19"/>
  <c r="AI38" i="19" s="1"/>
  <c r="AL38" i="19"/>
  <c r="AM38" i="19" s="1"/>
  <c r="V38" i="19"/>
  <c r="W38" i="19" s="1"/>
  <c r="N38" i="19"/>
  <c r="O38" i="19" s="1"/>
  <c r="R38" i="19"/>
  <c r="S38" i="19" s="1"/>
  <c r="F21" i="19"/>
  <c r="G21" i="19" s="1"/>
  <c r="AD21" i="19"/>
  <c r="AE21" i="19" s="1"/>
  <c r="AL21" i="19"/>
  <c r="AM21" i="19" s="1"/>
  <c r="R21" i="19"/>
  <c r="S21" i="19" s="1"/>
  <c r="AH21" i="19"/>
  <c r="AI21" i="19" s="1"/>
  <c r="Z21" i="19"/>
  <c r="AA21" i="19" s="1"/>
  <c r="V21" i="19"/>
  <c r="W21" i="19" s="1"/>
  <c r="J21" i="19"/>
  <c r="K21" i="19" s="1"/>
  <c r="N21" i="19"/>
  <c r="O21" i="19" s="1"/>
  <c r="AL50" i="19"/>
  <c r="AM50" i="19" s="1"/>
  <c r="Z50" i="19"/>
  <c r="AA50" i="19" s="1"/>
  <c r="AH50" i="19"/>
  <c r="AI50" i="19" s="1"/>
  <c r="N50" i="19"/>
  <c r="O50" i="19" s="1"/>
  <c r="AD50" i="19"/>
  <c r="AE50" i="19" s="1"/>
  <c r="R50" i="19"/>
  <c r="S50" i="19" s="1"/>
  <c r="J50" i="19"/>
  <c r="K50" i="19" s="1"/>
  <c r="V50" i="19"/>
  <c r="W50" i="19" s="1"/>
  <c r="F41" i="19"/>
  <c r="G41" i="19" s="1"/>
  <c r="AH41" i="19"/>
  <c r="AI41" i="19" s="1"/>
  <c r="Z41" i="19"/>
  <c r="AA41" i="19" s="1"/>
  <c r="V41" i="19"/>
  <c r="W41" i="19" s="1"/>
  <c r="R41" i="19"/>
  <c r="S41" i="19" s="1"/>
  <c r="AD41" i="19"/>
  <c r="AE41" i="19" s="1"/>
  <c r="J41" i="19"/>
  <c r="K41" i="19" s="1"/>
  <c r="N41" i="19"/>
  <c r="O41" i="19" s="1"/>
  <c r="AL41" i="19"/>
  <c r="AM41" i="19" s="1"/>
  <c r="AL45" i="19"/>
  <c r="AD45" i="19"/>
  <c r="AH45" i="19"/>
  <c r="V45" i="19"/>
  <c r="R45" i="19"/>
  <c r="Z45" i="19"/>
  <c r="N45" i="19"/>
  <c r="J45" i="19"/>
  <c r="F7" i="19"/>
  <c r="G7" i="19" s="1"/>
  <c r="Z7" i="19"/>
  <c r="AA7" i="19" s="1"/>
  <c r="AL7" i="19"/>
  <c r="AM7" i="19" s="1"/>
  <c r="AD7" i="19"/>
  <c r="AE7" i="19" s="1"/>
  <c r="V7" i="19"/>
  <c r="W7" i="19" s="1"/>
  <c r="R7" i="19"/>
  <c r="S7" i="19" s="1"/>
  <c r="AH7" i="19"/>
  <c r="AI7" i="19" s="1"/>
  <c r="J7" i="19"/>
  <c r="K7" i="19" s="1"/>
  <c r="N7" i="19"/>
  <c r="O7" i="19" s="1"/>
  <c r="F8" i="19"/>
  <c r="G8" i="19" s="1"/>
  <c r="AH8" i="19"/>
  <c r="AI8" i="19" s="1"/>
  <c r="Z8" i="19"/>
  <c r="AA8" i="19" s="1"/>
  <c r="AL8" i="19"/>
  <c r="AM8" i="19" s="1"/>
  <c r="J8" i="19"/>
  <c r="K8" i="19" s="1"/>
  <c r="AD8" i="19"/>
  <c r="AE8" i="19" s="1"/>
  <c r="N8" i="19"/>
  <c r="O8" i="19" s="1"/>
  <c r="V8" i="19"/>
  <c r="W8" i="19" s="1"/>
  <c r="R8" i="19"/>
  <c r="S8" i="19" s="1"/>
  <c r="F9" i="19"/>
  <c r="G9" i="19" s="1"/>
  <c r="AH9" i="19"/>
  <c r="AI9" i="19" s="1"/>
  <c r="Z9" i="19"/>
  <c r="AA9" i="19" s="1"/>
  <c r="V9" i="19"/>
  <c r="W9" i="19" s="1"/>
  <c r="R9" i="19"/>
  <c r="S9" i="19" s="1"/>
  <c r="N9" i="19"/>
  <c r="O9" i="19" s="1"/>
  <c r="AD9" i="19"/>
  <c r="AE9" i="19" s="1"/>
  <c r="AL9" i="19"/>
  <c r="AM9" i="19" s="1"/>
  <c r="J9" i="19"/>
  <c r="K9" i="19" s="1"/>
  <c r="AH16" i="19"/>
  <c r="AI16" i="19" s="1"/>
  <c r="AL16" i="19"/>
  <c r="AM16" i="19" s="1"/>
  <c r="R16" i="19"/>
  <c r="S16" i="19" s="1"/>
  <c r="Z16" i="19"/>
  <c r="AA16" i="19" s="1"/>
  <c r="V16" i="19"/>
  <c r="W16" i="19" s="1"/>
  <c r="J16" i="19"/>
  <c r="K16" i="19" s="1"/>
  <c r="AD16" i="19"/>
  <c r="AE16" i="19" s="1"/>
  <c r="N16" i="19"/>
  <c r="O16" i="19" s="1"/>
  <c r="F22" i="19"/>
  <c r="AD22" i="19"/>
  <c r="V22" i="19"/>
  <c r="N22" i="19"/>
  <c r="AL22" i="19"/>
  <c r="AH22" i="19"/>
  <c r="Z22" i="19"/>
  <c r="R22" i="19"/>
  <c r="J22" i="19"/>
  <c r="AD57" i="19"/>
  <c r="AE57" i="19" s="1"/>
  <c r="R57" i="19"/>
  <c r="S57" i="19" s="1"/>
  <c r="Z57" i="19"/>
  <c r="AA57" i="19" s="1"/>
  <c r="AH57" i="19"/>
  <c r="AI57" i="19" s="1"/>
  <c r="V57" i="19"/>
  <c r="W57" i="19" s="1"/>
  <c r="AL57" i="19"/>
  <c r="AM57" i="19" s="1"/>
  <c r="N55" i="19"/>
  <c r="O55" i="19" s="1"/>
  <c r="N54" i="19"/>
  <c r="F50" i="19"/>
  <c r="G50" i="19" s="1"/>
  <c r="F27" i="19"/>
  <c r="F28" i="19"/>
  <c r="G28" i="19" s="1"/>
  <c r="F45" i="19"/>
  <c r="F16" i="19"/>
  <c r="G16" i="19" s="1"/>
  <c r="F59" i="19" l="1"/>
  <c r="F85" i="19" s="1"/>
  <c r="G64" i="19"/>
  <c r="F55" i="19"/>
  <c r="G55" i="19" s="1"/>
  <c r="F56" i="19"/>
  <c r="G56" i="19" s="1"/>
  <c r="J54" i="19"/>
  <c r="J55" i="19"/>
  <c r="K55" i="19" s="1"/>
  <c r="N56" i="19"/>
  <c r="O56" i="19" s="1"/>
  <c r="N57" i="19"/>
  <c r="O57" i="19" s="1"/>
  <c r="AE14" i="19"/>
  <c r="J57" i="19"/>
  <c r="K57" i="19" s="1"/>
  <c r="AM14" i="19"/>
  <c r="AI14" i="19"/>
  <c r="W14" i="19"/>
  <c r="J56" i="19"/>
  <c r="K56" i="19" s="1"/>
  <c r="S14" i="19"/>
  <c r="F57" i="19"/>
  <c r="G57" i="19" s="1"/>
  <c r="F54" i="19"/>
  <c r="G54" i="19" s="1"/>
  <c r="AA14" i="19"/>
  <c r="AM27" i="19"/>
  <c r="W27" i="19"/>
  <c r="AI27" i="19"/>
  <c r="O27" i="19"/>
  <c r="K27" i="19"/>
  <c r="AA27" i="19"/>
  <c r="G27" i="19"/>
  <c r="S27" i="19"/>
  <c r="AE27" i="19"/>
  <c r="AI22" i="19"/>
  <c r="AM22" i="19"/>
  <c r="S22" i="19"/>
  <c r="O22" i="19"/>
  <c r="AE22" i="19"/>
  <c r="K22" i="19"/>
  <c r="G22" i="19"/>
  <c r="AA22" i="19"/>
  <c r="W22" i="19"/>
  <c r="F42" i="19"/>
  <c r="F29" i="19"/>
  <c r="F39" i="19"/>
  <c r="F108" i="19" s="1"/>
  <c r="G108" i="19" s="1"/>
  <c r="F34" i="19"/>
  <c r="F5" i="19"/>
  <c r="G35" i="19"/>
  <c r="F20" i="19"/>
  <c r="N20" i="19"/>
  <c r="V20" i="19"/>
  <c r="W20" i="19" s="1"/>
  <c r="AD20" i="19"/>
  <c r="AE20" i="19" s="1"/>
  <c r="AH20" i="19"/>
  <c r="AI20" i="19" s="1"/>
  <c r="AL20" i="19"/>
  <c r="AM20" i="19" s="1"/>
  <c r="Z20" i="19"/>
  <c r="AA20" i="19" s="1"/>
  <c r="R20" i="19"/>
  <c r="S20" i="19" s="1"/>
  <c r="J20" i="19"/>
  <c r="AM45" i="19"/>
  <c r="AA32" i="19"/>
  <c r="Z29" i="19"/>
  <c r="AM40" i="19"/>
  <c r="AL39" i="19"/>
  <c r="AA54" i="19"/>
  <c r="Z53" i="19"/>
  <c r="Z110" i="19" s="1"/>
  <c r="AA110" i="19" s="1"/>
  <c r="AL34" i="19"/>
  <c r="AM35" i="19"/>
  <c r="AA64" i="19"/>
  <c r="Z59" i="19"/>
  <c r="F19" i="19"/>
  <c r="G19" i="19" s="1"/>
  <c r="AD19" i="19"/>
  <c r="AL19" i="19"/>
  <c r="Z19" i="19"/>
  <c r="AH19" i="19"/>
  <c r="R19" i="19"/>
  <c r="N19" i="19"/>
  <c r="J19" i="19"/>
  <c r="V19" i="19"/>
  <c r="K45" i="19"/>
  <c r="W45" i="19"/>
  <c r="O6" i="19"/>
  <c r="N5" i="19"/>
  <c r="N102" i="19" s="1"/>
  <c r="W6" i="19"/>
  <c r="V5" i="19"/>
  <c r="V102" i="19" s="1"/>
  <c r="AM43" i="19"/>
  <c r="AL42" i="19"/>
  <c r="O43" i="19"/>
  <c r="N42" i="19"/>
  <c r="AI32" i="19"/>
  <c r="AH29" i="19"/>
  <c r="AM32" i="19"/>
  <c r="AL29" i="19"/>
  <c r="N39" i="19"/>
  <c r="O40" i="19"/>
  <c r="AA40" i="19"/>
  <c r="Z39" i="19"/>
  <c r="AD53" i="19"/>
  <c r="AD110" i="19" s="1"/>
  <c r="AE110" i="19" s="1"/>
  <c r="AE54" i="19"/>
  <c r="AL53" i="19"/>
  <c r="AL110" i="19" s="1"/>
  <c r="AM110" i="19" s="1"/>
  <c r="AM54" i="19"/>
  <c r="K26" i="19"/>
  <c r="J24" i="19"/>
  <c r="S26" i="19"/>
  <c r="R24" i="19"/>
  <c r="O35" i="19"/>
  <c r="N34" i="19"/>
  <c r="R34" i="19"/>
  <c r="S35" i="19"/>
  <c r="AE64" i="19"/>
  <c r="AD59" i="19"/>
  <c r="S64" i="19"/>
  <c r="R59" i="19"/>
  <c r="AA6" i="19"/>
  <c r="Z5" i="19"/>
  <c r="Z102" i="19" s="1"/>
  <c r="AI43" i="19"/>
  <c r="AH42" i="19"/>
  <c r="O54" i="19"/>
  <c r="W26" i="19"/>
  <c r="V24" i="19"/>
  <c r="J34" i="19"/>
  <c r="K35" i="19"/>
  <c r="K64" i="19"/>
  <c r="J59" i="19"/>
  <c r="Z49" i="19"/>
  <c r="R49" i="19"/>
  <c r="AL49" i="19"/>
  <c r="N49" i="19"/>
  <c r="AH49" i="19"/>
  <c r="AD49" i="19"/>
  <c r="J49" i="19"/>
  <c r="V49" i="19"/>
  <c r="G6" i="19"/>
  <c r="O45" i="19"/>
  <c r="AI45" i="19"/>
  <c r="K6" i="19"/>
  <c r="J5" i="19"/>
  <c r="J102" i="19" s="1"/>
  <c r="S6" i="19"/>
  <c r="R5" i="19"/>
  <c r="R102" i="19" s="1"/>
  <c r="J42" i="19"/>
  <c r="K43" i="19"/>
  <c r="AA43" i="19"/>
  <c r="Z42" i="19"/>
  <c r="K32" i="19"/>
  <c r="J29" i="19"/>
  <c r="S32" i="19"/>
  <c r="R29" i="19"/>
  <c r="R39" i="19"/>
  <c r="S40" i="19"/>
  <c r="AH39" i="19"/>
  <c r="AI40" i="19"/>
  <c r="S54" i="19"/>
  <c r="R53" i="19"/>
  <c r="R110" i="19" s="1"/>
  <c r="S110" i="19" s="1"/>
  <c r="K54" i="19"/>
  <c r="O26" i="19"/>
  <c r="N24" i="19"/>
  <c r="AM26" i="19"/>
  <c r="AL24" i="19"/>
  <c r="V34" i="19"/>
  <c r="W35" i="19"/>
  <c r="AD34" i="19"/>
  <c r="AE35" i="19"/>
  <c r="O64" i="19"/>
  <c r="N59" i="19"/>
  <c r="AM64" i="19"/>
  <c r="AL59" i="19"/>
  <c r="AH13" i="19"/>
  <c r="Z13" i="19"/>
  <c r="J13" i="19"/>
  <c r="AD13" i="19"/>
  <c r="N13" i="19"/>
  <c r="AL13" i="19"/>
  <c r="V13" i="19"/>
  <c r="R13" i="19"/>
  <c r="S45" i="19"/>
  <c r="AM6" i="19"/>
  <c r="AL5" i="19"/>
  <c r="AL102" i="19" s="1"/>
  <c r="AD42" i="19"/>
  <c r="AE43" i="19"/>
  <c r="AE32" i="19"/>
  <c r="AD29" i="19"/>
  <c r="AE40" i="19"/>
  <c r="AD39" i="19"/>
  <c r="AI26" i="19"/>
  <c r="AH24" i="19"/>
  <c r="AA45" i="19"/>
  <c r="AE45" i="19"/>
  <c r="AI6" i="19"/>
  <c r="AH5" i="19"/>
  <c r="AH102" i="19" s="1"/>
  <c r="AE6" i="19"/>
  <c r="AD5" i="19"/>
  <c r="AD102" i="19" s="1"/>
  <c r="V42" i="19"/>
  <c r="W43" i="19"/>
  <c r="S43" i="19"/>
  <c r="R42" i="19"/>
  <c r="O32" i="19"/>
  <c r="N29" i="19"/>
  <c r="W32" i="19"/>
  <c r="V29" i="19"/>
  <c r="J39" i="19"/>
  <c r="J108" i="19" s="1"/>
  <c r="K108" i="19" s="1"/>
  <c r="K40" i="19"/>
  <c r="V39" i="19"/>
  <c r="W40" i="19"/>
  <c r="AH53" i="19"/>
  <c r="AH110" i="19" s="1"/>
  <c r="AI110" i="19" s="1"/>
  <c r="AI54" i="19"/>
  <c r="V53" i="19"/>
  <c r="V110" i="19" s="1"/>
  <c r="W110" i="19" s="1"/>
  <c r="W54" i="19"/>
  <c r="AE26" i="19"/>
  <c r="AD24" i="19"/>
  <c r="AA26" i="19"/>
  <c r="Z24" i="19"/>
  <c r="Z34" i="19"/>
  <c r="AA35" i="19"/>
  <c r="AH34" i="19"/>
  <c r="AI35" i="19"/>
  <c r="AI64" i="19"/>
  <c r="AH59" i="19"/>
  <c r="W64" i="19"/>
  <c r="V59" i="19"/>
  <c r="F13" i="19"/>
  <c r="F49" i="19"/>
  <c r="F24" i="19"/>
  <c r="G45" i="19"/>
  <c r="G59" i="19" l="1"/>
  <c r="N53" i="19"/>
  <c r="N110" i="19" s="1"/>
  <c r="O110" i="19" s="1"/>
  <c r="N106" i="19"/>
  <c r="O106" i="19" s="1"/>
  <c r="AL106" i="19"/>
  <c r="AM106" i="19" s="1"/>
  <c r="J103" i="19"/>
  <c r="K103" i="19" s="1"/>
  <c r="AD106" i="19"/>
  <c r="AE106" i="19" s="1"/>
  <c r="Z103" i="19"/>
  <c r="AA103" i="19" s="1"/>
  <c r="R104" i="19"/>
  <c r="S104" i="19" s="1"/>
  <c r="V103" i="19"/>
  <c r="W103" i="19" s="1"/>
  <c r="R103" i="19"/>
  <c r="S103" i="19" s="1"/>
  <c r="F53" i="19"/>
  <c r="F110" i="19" s="1"/>
  <c r="G110" i="19" s="1"/>
  <c r="AL104" i="19"/>
  <c r="AM104" i="19" s="1"/>
  <c r="N108" i="19"/>
  <c r="O108" i="19" s="1"/>
  <c r="AL103" i="19"/>
  <c r="AM103" i="19" s="1"/>
  <c r="AH104" i="19"/>
  <c r="AI104" i="19" s="1"/>
  <c r="AL108" i="19"/>
  <c r="AM108" i="19" s="1"/>
  <c r="AD104" i="19"/>
  <c r="AE104" i="19" s="1"/>
  <c r="Z106" i="19"/>
  <c r="AA106" i="19" s="1"/>
  <c r="N103" i="19"/>
  <c r="O103" i="19" s="1"/>
  <c r="F103" i="19"/>
  <c r="G103" i="19" s="1"/>
  <c r="AD103" i="19"/>
  <c r="AE103" i="19" s="1"/>
  <c r="AH106" i="19"/>
  <c r="AI106" i="19" s="1"/>
  <c r="AH103" i="19"/>
  <c r="AI103" i="19" s="1"/>
  <c r="R108" i="19"/>
  <c r="S108" i="19" s="1"/>
  <c r="W102" i="19"/>
  <c r="O20" i="19"/>
  <c r="N104" i="19"/>
  <c r="O104" i="19" s="1"/>
  <c r="AM102" i="19"/>
  <c r="AA102" i="19"/>
  <c r="O102" i="19"/>
  <c r="G20" i="19"/>
  <c r="F104" i="19"/>
  <c r="G104" i="19" s="1"/>
  <c r="V104" i="19"/>
  <c r="W104" i="19" s="1"/>
  <c r="AE102" i="19"/>
  <c r="Z108" i="19"/>
  <c r="AA108" i="19" s="1"/>
  <c r="G5" i="19"/>
  <c r="F102" i="19"/>
  <c r="AI102" i="19"/>
  <c r="V108" i="19"/>
  <c r="W108" i="19" s="1"/>
  <c r="J53" i="19"/>
  <c r="J110" i="19" s="1"/>
  <c r="K110" i="19" s="1"/>
  <c r="S102" i="19"/>
  <c r="K20" i="19"/>
  <c r="J104" i="19"/>
  <c r="K104" i="19" s="1"/>
  <c r="K102" i="19"/>
  <c r="Z104" i="19"/>
  <c r="AA104" i="19" s="1"/>
  <c r="V106" i="19"/>
  <c r="W106" i="19" s="1"/>
  <c r="R106" i="19"/>
  <c r="S106" i="19" s="1"/>
  <c r="J106" i="19"/>
  <c r="K106" i="19" s="1"/>
  <c r="AD108" i="19"/>
  <c r="AE108" i="19" s="1"/>
  <c r="AH108" i="19"/>
  <c r="AI108" i="19" s="1"/>
  <c r="F106" i="19"/>
  <c r="G106" i="19" s="1"/>
  <c r="AL85" i="19"/>
  <c r="AM85" i="19" s="1"/>
  <c r="Z85" i="19"/>
  <c r="AA85" i="19" s="1"/>
  <c r="AH95" i="19"/>
  <c r="AI95" i="19" s="1"/>
  <c r="AE49" i="19"/>
  <c r="J94" i="19"/>
  <c r="K94" i="19" s="1"/>
  <c r="F95" i="19"/>
  <c r="G95" i="19" s="1"/>
  <c r="F94" i="19"/>
  <c r="G94" i="19" s="1"/>
  <c r="G85" i="19"/>
  <c r="AH97" i="19"/>
  <c r="AI97" i="19" s="1"/>
  <c r="J95" i="19"/>
  <c r="K95" i="19" s="1"/>
  <c r="N94" i="19"/>
  <c r="O94" i="19" s="1"/>
  <c r="R97" i="19"/>
  <c r="S97" i="19" s="1"/>
  <c r="AI49" i="19"/>
  <c r="AA49" i="19"/>
  <c r="AD97" i="19"/>
  <c r="AE97" i="19" s="1"/>
  <c r="N95" i="19"/>
  <c r="O95" i="19" s="1"/>
  <c r="Z97" i="19"/>
  <c r="AA97" i="19" s="1"/>
  <c r="G49" i="19"/>
  <c r="Z94" i="19"/>
  <c r="AA94" i="19" s="1"/>
  <c r="AD95" i="19"/>
  <c r="AE95" i="19" s="1"/>
  <c r="R95" i="19"/>
  <c r="S95" i="19" s="1"/>
  <c r="W49" i="19"/>
  <c r="O49" i="19"/>
  <c r="V94" i="19"/>
  <c r="W94" i="19" s="1"/>
  <c r="R94" i="19"/>
  <c r="S94" i="19" s="1"/>
  <c r="Z95" i="19"/>
  <c r="AA95" i="19" s="1"/>
  <c r="AD94" i="19"/>
  <c r="AE94" i="19" s="1"/>
  <c r="AH94" i="19"/>
  <c r="AI94" i="19" s="1"/>
  <c r="S49" i="19"/>
  <c r="N97" i="19"/>
  <c r="O97" i="19" s="1"/>
  <c r="V97" i="19"/>
  <c r="W97" i="19" s="1"/>
  <c r="V95" i="19"/>
  <c r="W95" i="19" s="1"/>
  <c r="AL94" i="19"/>
  <c r="AM94" i="19" s="1"/>
  <c r="K49" i="19"/>
  <c r="AM49" i="19"/>
  <c r="AL97" i="19"/>
  <c r="AM97" i="19" s="1"/>
  <c r="AL95" i="19"/>
  <c r="AM95" i="19" s="1"/>
  <c r="G42" i="19"/>
  <c r="G39" i="19"/>
  <c r="F79" i="19"/>
  <c r="G79" i="19" s="1"/>
  <c r="G29" i="19"/>
  <c r="F82" i="19"/>
  <c r="G82" i="19" s="1"/>
  <c r="G34" i="19"/>
  <c r="F81" i="19"/>
  <c r="G81" i="19" s="1"/>
  <c r="Z44" i="19"/>
  <c r="Z109" i="19" s="1"/>
  <c r="AA109" i="19" s="1"/>
  <c r="F18" i="19"/>
  <c r="F80" i="19"/>
  <c r="G80" i="19" s="1"/>
  <c r="AH44" i="19"/>
  <c r="AH109" i="19" s="1"/>
  <c r="AI109" i="19" s="1"/>
  <c r="F75" i="19"/>
  <c r="N44" i="19"/>
  <c r="N109" i="19" s="1"/>
  <c r="O109" i="19" s="1"/>
  <c r="J44" i="19"/>
  <c r="J109" i="19" s="1"/>
  <c r="K109" i="19" s="1"/>
  <c r="AI13" i="19"/>
  <c r="AH12" i="19"/>
  <c r="J82" i="19"/>
  <c r="K82" i="19" s="1"/>
  <c r="K42" i="19"/>
  <c r="AE59" i="19"/>
  <c r="AD85" i="19"/>
  <c r="K24" i="19"/>
  <c r="J78" i="19"/>
  <c r="K78" i="19" s="1"/>
  <c r="AL82" i="19"/>
  <c r="AM82" i="19" s="1"/>
  <c r="AM42" i="19"/>
  <c r="O5" i="19"/>
  <c r="N75" i="19"/>
  <c r="N92" i="19" s="1"/>
  <c r="N18" i="19"/>
  <c r="O19" i="19"/>
  <c r="V85" i="19"/>
  <c r="W59" i="19"/>
  <c r="Z78" i="19"/>
  <c r="AA78" i="19" s="1"/>
  <c r="AA24" i="19"/>
  <c r="W29" i="19"/>
  <c r="V79" i="19"/>
  <c r="W79" i="19" s="1"/>
  <c r="R82" i="19"/>
  <c r="S82" i="19" s="1"/>
  <c r="S42" i="19"/>
  <c r="AD75" i="19"/>
  <c r="AD92" i="19" s="1"/>
  <c r="AE5" i="19"/>
  <c r="AD44" i="19"/>
  <c r="AD109" i="19" s="1"/>
  <c r="AE109" i="19" s="1"/>
  <c r="AH78" i="19"/>
  <c r="AI78" i="19" s="1"/>
  <c r="AI24" i="19"/>
  <c r="AE29" i="19"/>
  <c r="AD79" i="19"/>
  <c r="AE79" i="19" s="1"/>
  <c r="AM5" i="19"/>
  <c r="AL75" i="19"/>
  <c r="AL92" i="19" s="1"/>
  <c r="S13" i="19"/>
  <c r="R12" i="19"/>
  <c r="AE13" i="19"/>
  <c r="AD12" i="19"/>
  <c r="AM59" i="19"/>
  <c r="AL78" i="19"/>
  <c r="AM78" i="19" s="1"/>
  <c r="AM24" i="19"/>
  <c r="R79" i="19"/>
  <c r="S79" i="19" s="1"/>
  <c r="S29" i="19"/>
  <c r="AA42" i="19"/>
  <c r="Z82" i="19"/>
  <c r="AA82" i="19" s="1"/>
  <c r="S5" i="19"/>
  <c r="R75" i="19"/>
  <c r="R92" i="19" s="1"/>
  <c r="J80" i="19"/>
  <c r="K80" i="19" s="1"/>
  <c r="K34" i="19"/>
  <c r="AD84" i="19"/>
  <c r="AE84" i="19" s="1"/>
  <c r="AE53" i="19"/>
  <c r="N81" i="19"/>
  <c r="O81" i="19" s="1"/>
  <c r="O39" i="19"/>
  <c r="S19" i="19"/>
  <c r="R18" i="19"/>
  <c r="AE19" i="19"/>
  <c r="AD18" i="19"/>
  <c r="AM39" i="19"/>
  <c r="AL81" i="19"/>
  <c r="AM81" i="19" s="1"/>
  <c r="AA34" i="19"/>
  <c r="Z80" i="19"/>
  <c r="AA80" i="19" s="1"/>
  <c r="K39" i="19"/>
  <c r="J81" i="19"/>
  <c r="K81" i="19" s="1"/>
  <c r="N12" i="19"/>
  <c r="O13" i="19"/>
  <c r="V80" i="19"/>
  <c r="W80" i="19" s="1"/>
  <c r="W34" i="19"/>
  <c r="Z75" i="19"/>
  <c r="Z92" i="19" s="1"/>
  <c r="AA5" i="19"/>
  <c r="O34" i="19"/>
  <c r="N80" i="19"/>
  <c r="O80" i="19" s="1"/>
  <c r="AI29" i="19"/>
  <c r="AH79" i="19"/>
  <c r="AI79" i="19" s="1"/>
  <c r="AM19" i="19"/>
  <c r="AL18" i="19"/>
  <c r="AH80" i="19"/>
  <c r="AI80" i="19" s="1"/>
  <c r="AI34" i="19"/>
  <c r="V84" i="19"/>
  <c r="W84" i="19" s="1"/>
  <c r="W53" i="19"/>
  <c r="W39" i="19"/>
  <c r="V81" i="19"/>
  <c r="W81" i="19" s="1"/>
  <c r="W13" i="19"/>
  <c r="V12" i="19"/>
  <c r="J12" i="19"/>
  <c r="K13" i="19"/>
  <c r="AD80" i="19"/>
  <c r="AE80" i="19" s="1"/>
  <c r="AE34" i="19"/>
  <c r="AI39" i="19"/>
  <c r="AH81" i="19"/>
  <c r="AI81" i="19" s="1"/>
  <c r="K59" i="19"/>
  <c r="J85" i="19"/>
  <c r="W24" i="19"/>
  <c r="V78" i="19"/>
  <c r="W78" i="19" s="1"/>
  <c r="AH82" i="19"/>
  <c r="AI82" i="19" s="1"/>
  <c r="AI42" i="19"/>
  <c r="S59" i="19"/>
  <c r="R85" i="19"/>
  <c r="S24" i="19"/>
  <c r="R78" i="19"/>
  <c r="S78" i="19" s="1"/>
  <c r="AA39" i="19"/>
  <c r="Z81" i="19"/>
  <c r="AA81" i="19" s="1"/>
  <c r="AM29" i="19"/>
  <c r="AL79" i="19"/>
  <c r="AM79" i="19" s="1"/>
  <c r="N82" i="19"/>
  <c r="O82" i="19" s="1"/>
  <c r="O42" i="19"/>
  <c r="W5" i="19"/>
  <c r="V75" i="19"/>
  <c r="V92" i="19" s="1"/>
  <c r="V18" i="19"/>
  <c r="W19" i="19"/>
  <c r="AI19" i="19"/>
  <c r="AH18" i="19"/>
  <c r="AL80" i="19"/>
  <c r="AM80" i="19" s="1"/>
  <c r="AM34" i="19"/>
  <c r="AL44" i="19"/>
  <c r="AL109" i="19" s="1"/>
  <c r="AM109" i="19" s="1"/>
  <c r="AI53" i="19"/>
  <c r="AH84" i="19"/>
  <c r="AI84" i="19" s="1"/>
  <c r="V82" i="19"/>
  <c r="W82" i="19" s="1"/>
  <c r="W42" i="19"/>
  <c r="AE42" i="19"/>
  <c r="AD82" i="19"/>
  <c r="AE82" i="19" s="1"/>
  <c r="S39" i="19"/>
  <c r="R81" i="19"/>
  <c r="S81" i="19" s="1"/>
  <c r="N84" i="19"/>
  <c r="O84" i="19" s="1"/>
  <c r="O53" i="19"/>
  <c r="AI59" i="19"/>
  <c r="AH85" i="19"/>
  <c r="AD78" i="19"/>
  <c r="AE78" i="19" s="1"/>
  <c r="AE24" i="19"/>
  <c r="N79" i="19"/>
  <c r="O79" i="19" s="1"/>
  <c r="O29" i="19"/>
  <c r="AI5" i="19"/>
  <c r="AH75" i="19"/>
  <c r="AH92" i="19" s="1"/>
  <c r="AD81" i="19"/>
  <c r="AE81" i="19" s="1"/>
  <c r="AE39" i="19"/>
  <c r="R44" i="19"/>
  <c r="R109" i="19" s="1"/>
  <c r="S109" i="19" s="1"/>
  <c r="AL12" i="19"/>
  <c r="AM13" i="19"/>
  <c r="Z12" i="19"/>
  <c r="AA13" i="19"/>
  <c r="N85" i="19"/>
  <c r="O59" i="19"/>
  <c r="N78" i="19"/>
  <c r="O78" i="19" s="1"/>
  <c r="O24" i="19"/>
  <c r="R84" i="19"/>
  <c r="S84" i="19" s="1"/>
  <c r="S53" i="19"/>
  <c r="K29" i="19"/>
  <c r="J79" i="19"/>
  <c r="K79" i="19" s="1"/>
  <c r="K5" i="19"/>
  <c r="J75" i="19"/>
  <c r="J92" i="19" s="1"/>
  <c r="S34" i="19"/>
  <c r="R80" i="19"/>
  <c r="S80" i="19" s="1"/>
  <c r="AL84" i="19"/>
  <c r="AM84" i="19" s="1"/>
  <c r="AM53" i="19"/>
  <c r="V44" i="19"/>
  <c r="V109" i="19" s="1"/>
  <c r="W109" i="19" s="1"/>
  <c r="K19" i="19"/>
  <c r="J18" i="19"/>
  <c r="AA19" i="19"/>
  <c r="Z18" i="19"/>
  <c r="AA59" i="19"/>
  <c r="AA53" i="19"/>
  <c r="Z84" i="19"/>
  <c r="AA84" i="19" s="1"/>
  <c r="AA29" i="19"/>
  <c r="Z79" i="19"/>
  <c r="AA79" i="19" s="1"/>
  <c r="F44" i="19"/>
  <c r="F109" i="19" s="1"/>
  <c r="G109" i="19" s="1"/>
  <c r="G24" i="19"/>
  <c r="F78" i="19"/>
  <c r="G78" i="19" s="1"/>
  <c r="F84" i="19"/>
  <c r="G84" i="19" s="1"/>
  <c r="G53" i="19"/>
  <c r="G13" i="19"/>
  <c r="F12" i="19"/>
  <c r="F97" i="19" l="1"/>
  <c r="G97" i="19" s="1"/>
  <c r="J97" i="19"/>
  <c r="K97" i="19" s="1"/>
  <c r="K53" i="19"/>
  <c r="J84" i="19"/>
  <c r="K84" i="19" s="1"/>
  <c r="AE111" i="19"/>
  <c r="AD111" i="19"/>
  <c r="K111" i="19"/>
  <c r="J111" i="19"/>
  <c r="S111" i="19"/>
  <c r="O111" i="19"/>
  <c r="R111" i="19"/>
  <c r="N111" i="19"/>
  <c r="Z111" i="19"/>
  <c r="AA111" i="19"/>
  <c r="AI111" i="19"/>
  <c r="AL111" i="19"/>
  <c r="AH111" i="19"/>
  <c r="AM111" i="19"/>
  <c r="F111" i="19"/>
  <c r="G102" i="19"/>
  <c r="G111" i="19" s="1"/>
  <c r="W111" i="19"/>
  <c r="V111" i="19"/>
  <c r="AI44" i="19"/>
  <c r="AH93" i="19"/>
  <c r="AI93" i="19" s="1"/>
  <c r="O85" i="19"/>
  <c r="AD96" i="19"/>
  <c r="AE96" i="19" s="1"/>
  <c r="AH96" i="19"/>
  <c r="AI96" i="19" s="1"/>
  <c r="K92" i="19"/>
  <c r="S85" i="19"/>
  <c r="G75" i="19"/>
  <c r="F92" i="19"/>
  <c r="AL93" i="19"/>
  <c r="AM93" i="19" s="1"/>
  <c r="F93" i="19"/>
  <c r="G93" i="19" s="1"/>
  <c r="R96" i="19"/>
  <c r="S96" i="19" s="1"/>
  <c r="W92" i="19"/>
  <c r="K85" i="19"/>
  <c r="J93" i="19"/>
  <c r="K93" i="19" s="1"/>
  <c r="AA92" i="19"/>
  <c r="N93" i="19"/>
  <c r="O92" i="19"/>
  <c r="J96" i="19"/>
  <c r="K96" i="19" s="1"/>
  <c r="F96" i="19"/>
  <c r="G96" i="19" s="1"/>
  <c r="AE85" i="19"/>
  <c r="Z96" i="19"/>
  <c r="AA96" i="19" s="1"/>
  <c r="AI92" i="19"/>
  <c r="R93" i="19"/>
  <c r="S93" i="19" s="1"/>
  <c r="V96" i="19"/>
  <c r="W96" i="19" s="1"/>
  <c r="Z93" i="19"/>
  <c r="Z98" i="19" s="1"/>
  <c r="AI85" i="19"/>
  <c r="AL96" i="19"/>
  <c r="AM96" i="19" s="1"/>
  <c r="V93" i="19"/>
  <c r="W93" i="19" s="1"/>
  <c r="S92" i="19"/>
  <c r="AD93" i="19"/>
  <c r="AE93" i="19" s="1"/>
  <c r="AM92" i="19"/>
  <c r="AE92" i="19"/>
  <c r="W85" i="19"/>
  <c r="N96" i="19"/>
  <c r="O96" i="19" s="1"/>
  <c r="AA44" i="19"/>
  <c r="Z83" i="19"/>
  <c r="AA83" i="19" s="1"/>
  <c r="G44" i="19"/>
  <c r="J83" i="19"/>
  <c r="K83" i="19" s="1"/>
  <c r="N83" i="19"/>
  <c r="O83" i="19" s="1"/>
  <c r="G18" i="19"/>
  <c r="F77" i="19"/>
  <c r="G77" i="19" s="1"/>
  <c r="AH83" i="19"/>
  <c r="AI83" i="19" s="1"/>
  <c r="O44" i="19"/>
  <c r="K44" i="19"/>
  <c r="N71" i="19"/>
  <c r="O71" i="19" s="1"/>
  <c r="AH67" i="19"/>
  <c r="AI67" i="19" s="1"/>
  <c r="AH69" i="19"/>
  <c r="AH68" i="19" s="1"/>
  <c r="F83" i="19"/>
  <c r="G83" i="19" s="1"/>
  <c r="R71" i="19"/>
  <c r="R70" i="19" s="1"/>
  <c r="Z67" i="19"/>
  <c r="AA67" i="19" s="1"/>
  <c r="AH71" i="19"/>
  <c r="AI71" i="19" s="1"/>
  <c r="AL69" i="19"/>
  <c r="AM69" i="19" s="1"/>
  <c r="Z69" i="19"/>
  <c r="Z68" i="19" s="1"/>
  <c r="K18" i="19"/>
  <c r="J77" i="19"/>
  <c r="K77" i="19" s="1"/>
  <c r="AA75" i="19"/>
  <c r="J71" i="19"/>
  <c r="S44" i="19"/>
  <c r="R83" i="19"/>
  <c r="S83" i="19" s="1"/>
  <c r="AI18" i="19"/>
  <c r="AH77" i="19"/>
  <c r="AI77" i="19" s="1"/>
  <c r="W75" i="19"/>
  <c r="S18" i="19"/>
  <c r="R77" i="19"/>
  <c r="S77" i="19" s="1"/>
  <c r="S75" i="19"/>
  <c r="AD76" i="19"/>
  <c r="AE76" i="19" s="1"/>
  <c r="AE12" i="19"/>
  <c r="AM75" i="19"/>
  <c r="AD69" i="19"/>
  <c r="AE75" i="19"/>
  <c r="V77" i="19"/>
  <c r="W77" i="19" s="1"/>
  <c r="W18" i="19"/>
  <c r="N76" i="19"/>
  <c r="O76" i="19" s="1"/>
  <c r="O12" i="19"/>
  <c r="O75" i="19"/>
  <c r="AA18" i="19"/>
  <c r="Z77" i="19"/>
  <c r="AA77" i="19" s="1"/>
  <c r="W44" i="19"/>
  <c r="V83" i="19"/>
  <c r="W83" i="19" s="1"/>
  <c r="J69" i="19"/>
  <c r="Z76" i="19"/>
  <c r="AA76" i="19" s="1"/>
  <c r="AA12" i="19"/>
  <c r="AI75" i="19"/>
  <c r="AM44" i="19"/>
  <c r="AL83" i="19"/>
  <c r="AM83" i="19" s="1"/>
  <c r="V67" i="19"/>
  <c r="J76" i="19"/>
  <c r="K76" i="19" s="1"/>
  <c r="K12" i="19"/>
  <c r="Z71" i="19"/>
  <c r="R67" i="19"/>
  <c r="AD71" i="19"/>
  <c r="N67" i="19"/>
  <c r="AI12" i="19"/>
  <c r="AH76" i="19"/>
  <c r="AI76" i="19" s="1"/>
  <c r="J67" i="19"/>
  <c r="AL76" i="19"/>
  <c r="AM76" i="19" s="1"/>
  <c r="AM12" i="19"/>
  <c r="V71" i="19"/>
  <c r="AL71" i="19"/>
  <c r="K75" i="19"/>
  <c r="V69" i="19"/>
  <c r="V76" i="19"/>
  <c r="W76" i="19" s="1"/>
  <c r="W12" i="19"/>
  <c r="AM18" i="19"/>
  <c r="AL77" i="19"/>
  <c r="AM77" i="19" s="1"/>
  <c r="AE18" i="19"/>
  <c r="AD77" i="19"/>
  <c r="AE77" i="19" s="1"/>
  <c r="R69" i="19"/>
  <c r="R76" i="19"/>
  <c r="S76" i="19" s="1"/>
  <c r="S12" i="19"/>
  <c r="AL67" i="19"/>
  <c r="AE44" i="19"/>
  <c r="AD83" i="19"/>
  <c r="AE83" i="19" s="1"/>
  <c r="AD67" i="19"/>
  <c r="N77" i="19"/>
  <c r="O77" i="19" s="1"/>
  <c r="O18" i="19"/>
  <c r="N69" i="19"/>
  <c r="G12" i="19"/>
  <c r="F76" i="19"/>
  <c r="F71" i="19"/>
  <c r="F67" i="19"/>
  <c r="F69" i="19"/>
  <c r="E21" i="2"/>
  <c r="AL98" i="19" l="1"/>
  <c r="N45" i="2" s="1"/>
  <c r="Z87" i="19"/>
  <c r="AA87" i="19" s="1"/>
  <c r="AA93" i="19"/>
  <c r="AA98" i="19" s="1"/>
  <c r="AH98" i="19"/>
  <c r="R98" i="19"/>
  <c r="I45" i="2" s="1"/>
  <c r="N98" i="19"/>
  <c r="K98" i="19"/>
  <c r="G42" i="2" s="1"/>
  <c r="O93" i="19"/>
  <c r="O98" i="19" s="1"/>
  <c r="V98" i="19"/>
  <c r="J98" i="19"/>
  <c r="W98" i="19"/>
  <c r="F98" i="19"/>
  <c r="G92" i="19"/>
  <c r="G98" i="19" s="1"/>
  <c r="AE98" i="19"/>
  <c r="AD98" i="19"/>
  <c r="AM98" i="19"/>
  <c r="N42" i="2" s="1"/>
  <c r="S98" i="19"/>
  <c r="AI98" i="19"/>
  <c r="K45" i="2"/>
  <c r="N70" i="19"/>
  <c r="N88" i="19" s="1"/>
  <c r="O88" i="19" s="1"/>
  <c r="S71" i="19"/>
  <c r="AH66" i="19"/>
  <c r="AI66" i="19" s="1"/>
  <c r="Z66" i="19"/>
  <c r="AI69" i="19"/>
  <c r="AL68" i="19"/>
  <c r="AA69" i="19"/>
  <c r="AH70" i="19"/>
  <c r="AH88" i="19" s="1"/>
  <c r="AI88" i="19" s="1"/>
  <c r="AL66" i="19"/>
  <c r="AL86" i="19" s="1"/>
  <c r="AM67" i="19"/>
  <c r="AD66" i="19"/>
  <c r="AE67" i="19"/>
  <c r="AM71" i="19"/>
  <c r="AL70" i="19"/>
  <c r="AL88" i="19" s="1"/>
  <c r="J66" i="19"/>
  <c r="K67" i="19"/>
  <c r="AD70" i="19"/>
  <c r="AE71" i="19"/>
  <c r="J68" i="19"/>
  <c r="K69" i="19"/>
  <c r="J70" i="19"/>
  <c r="K71" i="19"/>
  <c r="N66" i="19"/>
  <c r="O67" i="19"/>
  <c r="O69" i="19"/>
  <c r="N68" i="19"/>
  <c r="V70" i="19"/>
  <c r="W71" i="19"/>
  <c r="R66" i="19"/>
  <c r="S67" i="19"/>
  <c r="W67" i="19"/>
  <c r="V66" i="19"/>
  <c r="AE69" i="19"/>
  <c r="AD68" i="19"/>
  <c r="AH87" i="19"/>
  <c r="AI87" i="19" s="1"/>
  <c r="AI68" i="19"/>
  <c r="R68" i="19"/>
  <c r="S69" i="19"/>
  <c r="V68" i="19"/>
  <c r="W69" i="19"/>
  <c r="R88" i="19"/>
  <c r="S88" i="19" s="1"/>
  <c r="S70" i="19"/>
  <c r="AA71" i="19"/>
  <c r="Z70" i="19"/>
  <c r="Z88" i="19" s="1"/>
  <c r="AA68" i="19"/>
  <c r="F66" i="19"/>
  <c r="G67" i="19"/>
  <c r="G69" i="19"/>
  <c r="F68" i="19"/>
  <c r="G76" i="19"/>
  <c r="G71" i="19"/>
  <c r="F70" i="19"/>
  <c r="AH86" i="19" l="1"/>
  <c r="AI86" i="19" s="1"/>
  <c r="AI89" i="19" s="1"/>
  <c r="M41" i="2" s="1"/>
  <c r="M44" i="2" s="1"/>
  <c r="M45" i="2"/>
  <c r="J45" i="2"/>
  <c r="H45" i="2"/>
  <c r="L45" i="2"/>
  <c r="G45" i="2"/>
  <c r="Z86" i="19"/>
  <c r="AA86" i="19" s="1"/>
  <c r="AM68" i="19"/>
  <c r="AL87" i="19"/>
  <c r="AM87" i="19" s="1"/>
  <c r="F45" i="2"/>
  <c r="M42" i="2"/>
  <c r="L42" i="2"/>
  <c r="K42" i="2"/>
  <c r="J42" i="2"/>
  <c r="I42" i="2"/>
  <c r="H42" i="2"/>
  <c r="F42" i="2"/>
  <c r="O70" i="19"/>
  <c r="AA66" i="19"/>
  <c r="AH72" i="19"/>
  <c r="AI72" i="19" s="1"/>
  <c r="AI70" i="19"/>
  <c r="J87" i="19"/>
  <c r="K87" i="19" s="1"/>
  <c r="K68" i="19"/>
  <c r="R87" i="19"/>
  <c r="S87" i="19" s="1"/>
  <c r="S68" i="19"/>
  <c r="AE68" i="19"/>
  <c r="AD87" i="19"/>
  <c r="AE87" i="19" s="1"/>
  <c r="W70" i="19"/>
  <c r="V88" i="19"/>
  <c r="W88" i="19" s="1"/>
  <c r="N86" i="19"/>
  <c r="O66" i="19"/>
  <c r="N72" i="19"/>
  <c r="O72" i="19" s="1"/>
  <c r="K70" i="19"/>
  <c r="J88" i="19"/>
  <c r="K88" i="19" s="1"/>
  <c r="V86" i="19"/>
  <c r="W66" i="19"/>
  <c r="V72" i="19"/>
  <c r="W72" i="19" s="1"/>
  <c r="J86" i="19"/>
  <c r="K66" i="19"/>
  <c r="J72" i="19"/>
  <c r="K72" i="19" s="1"/>
  <c r="AA70" i="19"/>
  <c r="Z72" i="19"/>
  <c r="AA72" i="19" s="1"/>
  <c r="O68" i="19"/>
  <c r="N87" i="19"/>
  <c r="O87" i="19" s="1"/>
  <c r="AD88" i="19"/>
  <c r="AE88" i="19" s="1"/>
  <c r="AE70" i="19"/>
  <c r="AE66" i="19"/>
  <c r="AD86" i="19"/>
  <c r="AD72" i="19"/>
  <c r="AE72" i="19" s="1"/>
  <c r="W68" i="19"/>
  <c r="V87" i="19"/>
  <c r="W87" i="19" s="1"/>
  <c r="S66" i="19"/>
  <c r="R86" i="19"/>
  <c r="R72" i="19"/>
  <c r="S72" i="19" s="1"/>
  <c r="AM88" i="19"/>
  <c r="AM70" i="19"/>
  <c r="AM66" i="19"/>
  <c r="AL72" i="19"/>
  <c r="AM72" i="19" s="1"/>
  <c r="G68" i="19"/>
  <c r="F87" i="19"/>
  <c r="G87" i="19" s="1"/>
  <c r="G70" i="19"/>
  <c r="F88" i="19"/>
  <c r="G88" i="19" s="1"/>
  <c r="G66" i="19"/>
  <c r="F86" i="19"/>
  <c r="F72" i="19"/>
  <c r="G72" i="19" s="1"/>
  <c r="AH89" i="19" l="1"/>
  <c r="S86" i="19"/>
  <c r="S89" i="19" s="1"/>
  <c r="I41" i="2" s="1"/>
  <c r="I44" i="2" s="1"/>
  <c r="R89" i="19"/>
  <c r="AE86" i="19"/>
  <c r="AE89" i="19" s="1"/>
  <c r="L41" i="2" s="1"/>
  <c r="L44" i="2" s="1"/>
  <c r="AD89" i="19"/>
  <c r="K86" i="19"/>
  <c r="K89" i="19" s="1"/>
  <c r="G41" i="2" s="1"/>
  <c r="G44" i="2" s="1"/>
  <c r="J89" i="19"/>
  <c r="O86" i="19"/>
  <c r="O89" i="19" s="1"/>
  <c r="H41" i="2" s="1"/>
  <c r="H44" i="2" s="1"/>
  <c r="N89" i="19"/>
  <c r="W86" i="19"/>
  <c r="W89" i="19" s="1"/>
  <c r="J41" i="2" s="1"/>
  <c r="J44" i="2" s="1"/>
  <c r="V89" i="19"/>
  <c r="AA88" i="19"/>
  <c r="AA89" i="19" s="1"/>
  <c r="K41" i="2" s="1"/>
  <c r="K44" i="2" s="1"/>
  <c r="Z89" i="19"/>
  <c r="AM86" i="19"/>
  <c r="AM89" i="19" s="1"/>
  <c r="N41" i="2" s="1"/>
  <c r="N44" i="2" s="1"/>
  <c r="AL89" i="19"/>
  <c r="G86" i="19"/>
  <c r="G89" i="19" s="1"/>
  <c r="F41" i="2" s="1"/>
  <c r="F44" i="2" s="1"/>
  <c r="F89" i="19"/>
  <c r="E30" i="2" l="1"/>
  <c r="E22" i="2" l="1"/>
  <c r="E16" i="2" l="1"/>
  <c r="E17" i="2" l="1"/>
  <c r="E18" i="2" s="1"/>
  <c r="E19" i="2"/>
  <c r="E23" i="2" l="1"/>
  <c r="K20" i="3" l="1"/>
  <c r="W20" i="3"/>
  <c r="AI20" i="3"/>
  <c r="S20" i="3"/>
  <c r="AE20" i="3"/>
  <c r="G20" i="3"/>
  <c r="O20" i="3"/>
  <c r="AA20" i="3"/>
  <c r="AM20" i="3"/>
  <c r="AM21" i="3" l="1"/>
  <c r="AE21" i="3"/>
  <c r="K21" i="3"/>
  <c r="AI21" i="3"/>
  <c r="S21" i="3"/>
  <c r="O21" i="3"/>
  <c r="W21" i="3"/>
  <c r="AA21" i="3"/>
  <c r="G21" i="3"/>
  <c r="AI22" i="3" l="1"/>
  <c r="AI24" i="3" s="1"/>
  <c r="AI38" i="3" l="1"/>
  <c r="AI68" i="3" s="1"/>
  <c r="AI76" i="3"/>
  <c r="AI78" i="3" s="1"/>
  <c r="M43" i="2" s="1"/>
  <c r="M46" i="2" s="1"/>
  <c r="AE22" i="3" l="1"/>
  <c r="AE24" i="3" s="1"/>
  <c r="AE38" i="3" l="1"/>
  <c r="AE68" i="3" s="1"/>
  <c r="AE76" i="3"/>
  <c r="AE78" i="3" s="1"/>
  <c r="L43" i="2" s="1"/>
  <c r="L46" i="2" s="1"/>
  <c r="S22" i="3"/>
  <c r="S24" i="3" s="1"/>
  <c r="AM22" i="3"/>
  <c r="AM24" i="3" s="1"/>
  <c r="AA22" i="3"/>
  <c r="AA24" i="3" s="1"/>
  <c r="AA38" i="3" l="1"/>
  <c r="AA68" i="3" s="1"/>
  <c r="AA76" i="3"/>
  <c r="AA78" i="3" s="1"/>
  <c r="K43" i="2" s="1"/>
  <c r="K46" i="2" s="1"/>
  <c r="S38" i="3"/>
  <c r="S68" i="3" s="1"/>
  <c r="S76" i="3"/>
  <c r="S78" i="3" s="1"/>
  <c r="I43" i="2" s="1"/>
  <c r="I46" i="2" s="1"/>
  <c r="AM38" i="3"/>
  <c r="AM68" i="3" s="1"/>
  <c r="AM76" i="3"/>
  <c r="AM78" i="3" s="1"/>
  <c r="N43" i="2" s="1"/>
  <c r="O22" i="3"/>
  <c r="O24" i="3" s="1"/>
  <c r="W22" i="3"/>
  <c r="W24" i="3" s="1"/>
  <c r="G22" i="3"/>
  <c r="G24" i="3" s="1"/>
  <c r="K22" i="3"/>
  <c r="K24" i="3" s="1"/>
  <c r="N46" i="2" l="1"/>
  <c r="O38" i="3"/>
  <c r="O68" i="3" s="1"/>
  <c r="O76" i="3"/>
  <c r="O78" i="3" s="1"/>
  <c r="H43" i="2" s="1"/>
  <c r="H46" i="2" s="1"/>
  <c r="W38" i="3"/>
  <c r="W68" i="3" s="1"/>
  <c r="W76" i="3"/>
  <c r="W78" i="3" s="1"/>
  <c r="J43" i="2" s="1"/>
  <c r="J46" i="2" s="1"/>
  <c r="K38" i="3"/>
  <c r="K68" i="3" s="1"/>
  <c r="K76" i="3"/>
  <c r="K78" i="3" s="1"/>
  <c r="G43" i="2" s="1"/>
  <c r="G46" i="2" s="1"/>
  <c r="G38" i="3"/>
  <c r="G68" i="3" s="1"/>
  <c r="G76" i="3"/>
  <c r="G78" i="3" s="1"/>
  <c r="F43" i="2" s="1"/>
  <c r="F4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Oscar</author>
    <author>OP</author>
  </authors>
  <commentList>
    <comment ref="C8" authorId="0" shapeId="0" xr:uid="{FBA3D299-E0B1-4A10-B80F-585AE04AE88C}">
      <text>
        <r>
          <rPr>
            <b/>
            <sz val="9"/>
            <color indexed="81"/>
            <rFont val="Tahoma"/>
            <family val="2"/>
          </rPr>
          <t>Oscar:</t>
        </r>
        <r>
          <rPr>
            <sz val="9"/>
            <color indexed="81"/>
            <rFont val="Tahoma"/>
            <family val="2"/>
          </rPr>
          <t xml:space="preserve">
E4 Ecatepec cuenta como 1</t>
        </r>
      </text>
    </comment>
    <comment ref="C13" authorId="0" shapeId="0" xr:uid="{65682E92-7E36-4F58-83F0-B04A1A405D46}">
      <text>
        <r>
          <rPr>
            <b/>
            <sz val="9"/>
            <color indexed="81"/>
            <rFont val="Tahoma"/>
            <family val="2"/>
          </rPr>
          <t>Oscar:</t>
        </r>
        <r>
          <rPr>
            <sz val="9"/>
            <color indexed="81"/>
            <rFont val="Tahoma"/>
            <family val="2"/>
          </rPr>
          <t xml:space="preserve">
Únicamente señalado a efectos de desplazamiento de los viajeros hasta la estación (máxi 500m a pie), es decir, 1 km de distancia entre estaciones</t>
        </r>
      </text>
    </comment>
    <comment ref="E40" authorId="1" shapeId="0" xr:uid="{FDF41D75-CFEC-4FA1-9E43-C8EFE93EA9C7}">
      <text>
        <r>
          <rPr>
            <b/>
            <sz val="9"/>
            <color indexed="81"/>
            <rFont val="Tahoma"/>
            <family val="2"/>
          </rPr>
          <t>OP:</t>
        </r>
        <r>
          <rPr>
            <sz val="9"/>
            <color indexed="81"/>
            <rFont val="Tahoma"/>
            <family val="2"/>
          </rPr>
          <t xml:space="preserve">
*Precio del kwh según tarifa de enero de 2021 oficial e industrial sin contribución para tafifa sencilla monomia de de nivel 1 de propiedad de Codensa</t>
        </r>
      </text>
    </comment>
    <comment ref="F40" authorId="1" shapeId="0" xr:uid="{98574CF7-3EAF-4EE9-AC27-F1DEE1C49678}">
      <text>
        <r>
          <rPr>
            <b/>
            <sz val="9"/>
            <color indexed="81"/>
            <rFont val="Tahoma"/>
            <family val="2"/>
          </rPr>
          <t>OP:</t>
        </r>
        <r>
          <rPr>
            <sz val="9"/>
            <color indexed="81"/>
            <rFont val="Tahoma"/>
            <family val="2"/>
          </rPr>
          <t xml:space="preserve">
*Precio del kwh según tarifa de enero de 2021 oficial e industrial sin contribución para tafifa sencilla monomia de de nivel 1 de propiedad de Codensa</t>
        </r>
      </text>
    </comment>
    <comment ref="G40" authorId="1" shapeId="0" xr:uid="{EACD8C12-A363-41B5-B32B-A46A120CD1C5}">
      <text>
        <r>
          <rPr>
            <b/>
            <sz val="9"/>
            <color indexed="81"/>
            <rFont val="Tahoma"/>
            <family val="2"/>
          </rPr>
          <t>OP:</t>
        </r>
        <r>
          <rPr>
            <sz val="9"/>
            <color indexed="81"/>
            <rFont val="Tahoma"/>
            <family val="2"/>
          </rPr>
          <t xml:space="preserve">
*Precio del kwh según tarifa de enero de 2021 oficial e industrial sin contribución para tafifa sencilla monomia de de nivel 1 de propiedad de Codensa</t>
        </r>
      </text>
    </comment>
    <comment ref="H40" authorId="1" shapeId="0" xr:uid="{28326882-25E7-458A-88A1-6F16647C64AB}">
      <text>
        <r>
          <rPr>
            <b/>
            <sz val="9"/>
            <color indexed="81"/>
            <rFont val="Tahoma"/>
            <family val="2"/>
          </rPr>
          <t>OP:</t>
        </r>
        <r>
          <rPr>
            <sz val="9"/>
            <color indexed="81"/>
            <rFont val="Tahoma"/>
            <family val="2"/>
          </rPr>
          <t xml:space="preserve">
*Precio del kwh según tarifa de enero de 2021 oficial e industrial sin contribución para tafifa sencilla monomia de de nivel 1 de propiedad de Codensa</t>
        </r>
      </text>
    </comment>
    <comment ref="I40" authorId="1" shapeId="0" xr:uid="{DCCFAA03-1635-49D0-98CC-45DC4B5E9FD6}">
      <text>
        <r>
          <rPr>
            <b/>
            <sz val="9"/>
            <color indexed="81"/>
            <rFont val="Tahoma"/>
            <family val="2"/>
          </rPr>
          <t>OP:</t>
        </r>
        <r>
          <rPr>
            <sz val="9"/>
            <color indexed="81"/>
            <rFont val="Tahoma"/>
            <family val="2"/>
          </rPr>
          <t xml:space="preserve">
*Precio del kwh según tarifa de enero de 2021 oficial e industrial sin contribución para tafifa sencilla monomia de de nivel 1 de propiedad de Codensa</t>
        </r>
      </text>
    </comment>
    <comment ref="J40" authorId="1" shapeId="0" xr:uid="{924BA74C-1120-4536-BD44-168B453E248B}">
      <text>
        <r>
          <rPr>
            <b/>
            <sz val="9"/>
            <color indexed="81"/>
            <rFont val="Tahoma"/>
            <family val="2"/>
          </rPr>
          <t>OP:</t>
        </r>
        <r>
          <rPr>
            <sz val="9"/>
            <color indexed="81"/>
            <rFont val="Tahoma"/>
            <family val="2"/>
          </rPr>
          <t xml:space="preserve">
*Precio del kwh según tarifa de enero de 2021 oficial e industrial sin contribución para tafifa sencilla monomia de de nivel 1 de propiedad de Codensa</t>
        </r>
      </text>
    </comment>
    <comment ref="K40" authorId="1" shapeId="0" xr:uid="{1C7B9ADA-71BC-4EF4-9BBF-C46CDD70B424}">
      <text>
        <r>
          <rPr>
            <b/>
            <sz val="9"/>
            <color indexed="81"/>
            <rFont val="Tahoma"/>
            <family val="2"/>
          </rPr>
          <t>OP:</t>
        </r>
        <r>
          <rPr>
            <sz val="9"/>
            <color indexed="81"/>
            <rFont val="Tahoma"/>
            <family val="2"/>
          </rPr>
          <t xml:space="preserve">
*Precio del kwh según tarifa de enero de 2021 oficial e industrial sin contribución para tafifa sencilla monomia de de nivel 1 de propiedad de Codensa</t>
        </r>
      </text>
    </comment>
    <comment ref="L40" authorId="1" shapeId="0" xr:uid="{A7CC72BE-5BE7-422D-B67B-783AA9A76E62}">
      <text>
        <r>
          <rPr>
            <b/>
            <sz val="9"/>
            <color indexed="81"/>
            <rFont val="Tahoma"/>
            <family val="2"/>
          </rPr>
          <t>OP:</t>
        </r>
        <r>
          <rPr>
            <sz val="9"/>
            <color indexed="81"/>
            <rFont val="Tahoma"/>
            <family val="2"/>
          </rPr>
          <t xml:space="preserve">
*Precio del kwh según tarifa de enero de 2021 oficial e industrial sin contribución para tafifa sencilla monomia de de nivel 1 de propiedad de Codensa</t>
        </r>
      </text>
    </comment>
    <comment ref="M40" authorId="1" shapeId="0" xr:uid="{0D924D08-9523-4DAC-B511-03C7FE05AF7D}">
      <text>
        <r>
          <rPr>
            <b/>
            <sz val="9"/>
            <color indexed="81"/>
            <rFont val="Tahoma"/>
            <family val="2"/>
          </rPr>
          <t>OP:</t>
        </r>
        <r>
          <rPr>
            <sz val="9"/>
            <color indexed="81"/>
            <rFont val="Tahoma"/>
            <family val="2"/>
          </rPr>
          <t xml:space="preserve">
*Precio del kwh según tarifa de enero de 2021 oficial e industrial sin contribución para tafifa sencilla monomia de de nivel 1 de propiedad de Codensa</t>
        </r>
      </text>
    </comment>
    <comment ref="N40" authorId="1" shapeId="0" xr:uid="{7B2E9391-FFF6-40AE-BFE2-7242A8B92670}">
      <text>
        <r>
          <rPr>
            <b/>
            <sz val="9"/>
            <color indexed="81"/>
            <rFont val="Tahoma"/>
            <family val="2"/>
          </rPr>
          <t>OP:</t>
        </r>
        <r>
          <rPr>
            <sz val="9"/>
            <color indexed="81"/>
            <rFont val="Tahoma"/>
            <family val="2"/>
          </rPr>
          <t xml:space="preserve">
*Precio del kwh según tarifa de enero de 2021 oficial e industrial sin contribución para tafifa sencilla monomia de de nivel 1 de propiedad de Codensa</t>
        </r>
      </text>
    </comment>
  </commentList>
</comments>
</file>

<file path=xl/sharedStrings.xml><?xml version="1.0" encoding="utf-8"?>
<sst xmlns="http://schemas.openxmlformats.org/spreadsheetml/2006/main" count="539" uniqueCount="246">
  <si>
    <t>Sistema de tensión del cable tractor, incluye chasis, contrapeso y elementos de seguridad</t>
  </si>
  <si>
    <t>m2</t>
  </si>
  <si>
    <t>PROYECTO Y SUPERVISIÓN DE OBRA</t>
  </si>
  <si>
    <t>CONJUNTO DE ESTACIONES</t>
  </si>
  <si>
    <t>REPOSICIÓN DE SERVICIOS</t>
  </si>
  <si>
    <t>und</t>
  </si>
  <si>
    <t>EXPROPIACIONES</t>
  </si>
  <si>
    <t>Expropiaciones</t>
  </si>
  <si>
    <t>m</t>
  </si>
  <si>
    <t>Eventuales pilotajes (a definir por el estudio geológico / geotécnico)</t>
  </si>
  <si>
    <t>Estación transformadora, todo incluido</t>
  </si>
  <si>
    <t>Estudio de Impacto Ambiental</t>
  </si>
  <si>
    <t>MAQUINARIA - REDUCTOR</t>
  </si>
  <si>
    <t>LÍNEA</t>
  </si>
  <si>
    <t>VEHÍCULOS</t>
  </si>
  <si>
    <t>SEÑALIZACIÓN Y VARIOS</t>
  </si>
  <si>
    <t>Vehículo de mantenimiento, incluido brazo de suspensión y pinza desembragable</t>
  </si>
  <si>
    <t>Sistema de frenos de servicio y de emergencia, todo incluido</t>
  </si>
  <si>
    <t>Equipo eléctrico y accesorios</t>
  </si>
  <si>
    <t>Control magnético del cable y control vibratorio del conjunto motores/reductores</t>
  </si>
  <si>
    <t>TRANSPORTE</t>
  </si>
  <si>
    <t>Flete terrestre hasta lugar de la obra</t>
  </si>
  <si>
    <t>DISTRIBUCIÓN</t>
  </si>
  <si>
    <t>MONTAJE</t>
  </si>
  <si>
    <t>Montaje de línea</t>
  </si>
  <si>
    <t>Puesta en obra del cable y empalme</t>
  </si>
  <si>
    <t>Conexiones eléctricas e hidráulicas, todo incluido</t>
  </si>
  <si>
    <t>Montaje y colocación de vehículos</t>
  </si>
  <si>
    <t>Reglajes y pruebas previos a la puesta en marcha</t>
  </si>
  <si>
    <t>MITIGACIÓN DE IMPACTOS AMBIENTALES</t>
  </si>
  <si>
    <t>sem</t>
  </si>
  <si>
    <t>m3</t>
  </si>
  <si>
    <t>Modificación y reposición de servicios afectados (líneas eléctricas, líneas telefónicas, alcantarillado, etc…</t>
  </si>
  <si>
    <t>Flete Marítimo de equipos de fabrica (incluye aranceles aduana)</t>
  </si>
  <si>
    <t>Postes</t>
  </si>
  <si>
    <t>Postes &gt; 25 m</t>
  </si>
  <si>
    <t>Postes &lt; 25 m</t>
  </si>
  <si>
    <t>Grupo electrógeno para funcionamiento del teleférico en caso de corte del suministro e red</t>
  </si>
  <si>
    <t>Montaje de cubierta de estación "técnica"</t>
  </si>
  <si>
    <t>Conjunto de torniquetes y contaje de pasajeros en estación, asociado a un sistema de emisión de billetes</t>
  </si>
  <si>
    <t>Distribución del material dentro de la zona de obra (incluido transporte y manutención)</t>
  </si>
  <si>
    <t>Datos de entrada</t>
  </si>
  <si>
    <t>Estaciones (útiles de cara al pasajero)</t>
  </si>
  <si>
    <t>Número de estaciones motrices</t>
  </si>
  <si>
    <t>Número de estaciones retorno</t>
  </si>
  <si>
    <t>Longitud horizontal</t>
  </si>
  <si>
    <t>Número total de pilonas línea</t>
  </si>
  <si>
    <t>Número total de vehículos</t>
  </si>
  <si>
    <t>Intervalo de tiempo entre los vehículos</t>
  </si>
  <si>
    <t>Equidistancia mínima entre los vehículos</t>
  </si>
  <si>
    <t>Horas de explotación diaria</t>
  </si>
  <si>
    <t>Turnos</t>
  </si>
  <si>
    <t>Días de explotación anuales</t>
  </si>
  <si>
    <t>Horas de funcionamiento anuales</t>
  </si>
  <si>
    <t>% del par nominal en función del caso de carga:</t>
  </si>
  <si>
    <t xml:space="preserve">    0%↑  0%↓</t>
  </si>
  <si>
    <t xml:space="preserve">    25%↑  0%↓</t>
  </si>
  <si>
    <t xml:space="preserve">    100%↑  0%↓</t>
  </si>
  <si>
    <t xml:space="preserve">    100%↑  100%↓</t>
  </si>
  <si>
    <t xml:space="preserve">     0%↑  100%↓</t>
  </si>
  <si>
    <t>Responsable de explotación</t>
  </si>
  <si>
    <t>Jefe de mantenimiento</t>
  </si>
  <si>
    <t>Técnicos de mantenimiento</t>
  </si>
  <si>
    <t>Conductores instalación</t>
  </si>
  <si>
    <t>Agentes de estación</t>
  </si>
  <si>
    <t>TOTAL PERSONAL</t>
  </si>
  <si>
    <t>Mantenimiento anual &amp; extraordinario</t>
  </si>
  <si>
    <t>Revisión anual estaciones y línea</t>
  </si>
  <si>
    <t>Revisión anual vehículos</t>
  </si>
  <si>
    <t>Mantenimiento extraordinario vehículos</t>
  </si>
  <si>
    <t>TOTAL MANTENIMIENTO</t>
  </si>
  <si>
    <t>Cons. energ.</t>
  </si>
  <si>
    <t>Precio del kWh</t>
  </si>
  <si>
    <t>COSTE ELECTRICIDAD</t>
  </si>
  <si>
    <t>€</t>
  </si>
  <si>
    <t>cab</t>
  </si>
  <si>
    <t>%</t>
  </si>
  <si>
    <t>Medidas de mitigación del impacto ambiental (a definir por el EsIA)</t>
  </si>
  <si>
    <t>Desnivel máximo</t>
  </si>
  <si>
    <t>Número de estaciones intermedias</t>
  </si>
  <si>
    <t>días</t>
  </si>
  <si>
    <t>Costos de personal técnico de operación</t>
  </si>
  <si>
    <t>Gerente</t>
  </si>
  <si>
    <t>Administrador</t>
  </si>
  <si>
    <t>Secretario</t>
  </si>
  <si>
    <t>Jefe de contabilidad</t>
  </si>
  <si>
    <t>Auxiliar contabilidad</t>
  </si>
  <si>
    <t>Costos de personal de administración</t>
  </si>
  <si>
    <t>Auxiliar</t>
  </si>
  <si>
    <t>Jefe de RRHH</t>
  </si>
  <si>
    <t>Auxiliar de RRHH</t>
  </si>
  <si>
    <t>Auxiliar de logística/almacén</t>
  </si>
  <si>
    <t>-</t>
  </si>
  <si>
    <t>Costos de personal de venta, limpieza, mantenimiento edficios</t>
  </si>
  <si>
    <t>Taquilleros</t>
  </si>
  <si>
    <t>Limpieza</t>
  </si>
  <si>
    <t>Seguridad</t>
  </si>
  <si>
    <t>Asistente médico</t>
  </si>
  <si>
    <t>TOTAL OTROS</t>
  </si>
  <si>
    <t>Otros costes de mantenimiento y servicios de terceros</t>
  </si>
  <si>
    <t>TOTAL COSTOS ADMINISTRACIÓN, LIMPIEZA, SEGURIDAD Y OTROS</t>
  </si>
  <si>
    <t>Potencia necesaria motor eléctrico</t>
  </si>
  <si>
    <t>Jefe de logística/almacén</t>
  </si>
  <si>
    <t>TOTAL (€)</t>
  </si>
  <si>
    <t>Unidades</t>
  </si>
  <si>
    <t>m/s</t>
  </si>
  <si>
    <t>mm</t>
  </si>
  <si>
    <t>s</t>
  </si>
  <si>
    <t>kW</t>
  </si>
  <si>
    <t>Secciones previstas (bucles de cable)</t>
  </si>
  <si>
    <t>Distancia máxima entre estaciones</t>
  </si>
  <si>
    <t>Capacidad de transporte</t>
  </si>
  <si>
    <t>Velocidad</t>
  </si>
  <si>
    <t>Tiempo de trayecto (línea)</t>
  </si>
  <si>
    <t>Tiempo en estaciones</t>
  </si>
  <si>
    <t>Tiempo de trayecto total</t>
  </si>
  <si>
    <t>Tiempo de trayecto</t>
  </si>
  <si>
    <t>Capacidad vehículos</t>
  </si>
  <si>
    <t>Número de vehículos</t>
  </si>
  <si>
    <t>u</t>
  </si>
  <si>
    <t>pphpd</t>
  </si>
  <si>
    <t>pax</t>
  </si>
  <si>
    <t>h</t>
  </si>
  <si>
    <t>Coste de inversión</t>
  </si>
  <si>
    <t>meses</t>
  </si>
  <si>
    <t>Tiempo de construcción previsto</t>
  </si>
  <si>
    <t xml:space="preserve">Diámetro del cable portador-tractor </t>
  </si>
  <si>
    <t>HORMIGÓN ARMADO</t>
  </si>
  <si>
    <t>und (bucles)</t>
  </si>
  <si>
    <t>Coste €</t>
  </si>
  <si>
    <t>contenedor</t>
  </si>
  <si>
    <t>Coste COP</t>
  </si>
  <si>
    <t>nº cabinas</t>
  </si>
  <si>
    <t>RESUMEN POR CAPÍTULOS</t>
  </si>
  <si>
    <t>COSTE TOTAL DE INVERSIÓN</t>
  </si>
  <si>
    <t>Estaciones técnicas totales (sin acceso pasajeros)</t>
  </si>
  <si>
    <t>Estaciones técnicas (sin acceso pasajeros) integradas en un edificio</t>
  </si>
  <si>
    <t>Estaciones técnicas (sin acceso pasajeros) con cubierta únicamente (sin edificio)</t>
  </si>
  <si>
    <t>Trazo y replanteo inicial y durante la ejecución de la obra</t>
  </si>
  <si>
    <t>Estudio geológico y geotécnico. Incluye estudio inicial, determinación final de los valores de ELS y ELU una vez abiertos los pozos de cimentación y reporte final</t>
  </si>
  <si>
    <t>Estructura de estación motriz completa, incluidos andenes, barandillas y accesorios</t>
  </si>
  <si>
    <t>Estructura de estación de reenvío completa, incluidos andenes, barandillas y accesorios</t>
  </si>
  <si>
    <t>Estructura de estación intermedia completa (incluidas estaciones para pasajeros y técnicas), incluidos andenes, barandillas y accesorios</t>
  </si>
  <si>
    <t>Cubierta para estación intermedia de tipo "técnica", en caso de que ésta, no se integre en un edificio</t>
  </si>
  <si>
    <t>Motor térmico de emergencia, incluidos chasis, aparamenta eléctrica, acoplamiento y depósito de combustible</t>
  </si>
  <si>
    <t>Conjunto motor-reductor principal, incluidos el chasis, elementos intermedios (si existen: volante de inercia,…) aparamenta eléctrica (variador de frecuencia) y accesorios</t>
  </si>
  <si>
    <t>Línea de seguridad soportada por cableta de acero, incluidos aisladores, cajas de conexión y resto de accesorios</t>
  </si>
  <si>
    <t>Cable portador/tractor, de composición 6x25 FW o bien 6 x 26WS y 1.720 kN de fuerza de rotura mínima. El cable contiene perfiles plásticos entre los cordones para eliminar vibraciones y ruidos</t>
  </si>
  <si>
    <t>Torre de línea, de altura comprendida entre 15 y 25 metros, incluida potencia, balancines y sobrepotencia de descableado y sistema de iluminación para explotación nocturna</t>
  </si>
  <si>
    <t>Torre de línea, de altura comprendida entre 25 y 40 metros, incluida potencia, balancines y sobrepotencia de descableado y sistema de iluminación para explotación nocturna</t>
  </si>
  <si>
    <t>Estaciones pasajeros</t>
  </si>
  <si>
    <t>Utillaje específico y suministros para el primer año de explotación</t>
  </si>
  <si>
    <t>Parte proporcional de la estructura del almacén para vehículos, incluidas vías de garaje, ascensores/rampas y accionamiento para el funcionamiento automático del ciclado/desciclado de vehículos</t>
  </si>
  <si>
    <t>Parte proporcional del montaje de almacén para vehículos, incluidas vías de garaje, ascensores/rampas  y accionamiento  para funcionamiento automático del ciclado/desciclado de vehículos</t>
  </si>
  <si>
    <t>Montaje de estación, se incluyen todas las estaciones: motrices, reenvío, intermedias (ya sean de pasajeros o técnicas)</t>
  </si>
  <si>
    <t>Hormigón para cimentación estaciones motrices (incluye excavación, armado, encofrado, hormigón, desencofrado, todo acabado)</t>
  </si>
  <si>
    <t>Hormigón para cimentación estaciones terminales (incluye excavación, armado, encofrado, hormigón, desencofrado, todo acabado)</t>
  </si>
  <si>
    <t>Hormigón para cimentación estaciones intermedias (para pasajeros y técnicas). Se incluye excavación, armado, encofrado, hormigón, desencofrado, todo acabado.</t>
  </si>
  <si>
    <t>Hormigón para cimentación de torre de línea (incluye excavación, armado, encofrado, hormigón, desencofrado, todo acabado)</t>
  </si>
  <si>
    <t>Edificio estación terminal  (las situadas a ambos extremos del sistema)</t>
  </si>
  <si>
    <t>Edificio estación intermedia de pasajeros y técnica si ésta se integra en edificio</t>
  </si>
  <si>
    <t>Edificio almacén de vehículos</t>
  </si>
  <si>
    <t>Edificio estación doble motriz, o motriz/tensión o doble tensión</t>
  </si>
  <si>
    <t>Metrado (Cantidad)</t>
  </si>
  <si>
    <t>Cabina para el transporte de viajeros, incluido brazo de suspensión y pinza desembragable</t>
  </si>
  <si>
    <t>Sistema de interfonia vía radio y de difusión de mensajes en cabinas, iluminación y sistema de carga de baterías (paneles solares)</t>
  </si>
  <si>
    <t>Estaciones intermedias (totales=pasajeros +técnicas)</t>
  </si>
  <si>
    <t>Reposición de servicios</t>
  </si>
  <si>
    <t>Mitigación de impactos ambientales</t>
  </si>
  <si>
    <t>Precios unitarios según grupo</t>
  </si>
  <si>
    <t>EDIFICIOS DE LAS ESTACIONES</t>
  </si>
  <si>
    <t xml:space="preserve">Equipos de evacuación de pasajeros </t>
  </si>
  <si>
    <t>Señalización completa para estaciones y vehículos, y material de primeros auxilios (botiquín) en estaciones</t>
  </si>
  <si>
    <t>Tabla salarial</t>
  </si>
  <si>
    <t>Personal de administración</t>
  </si>
  <si>
    <t>Personal  de operación</t>
  </si>
  <si>
    <t>Personal de limpieza, mantenimiento edif,…</t>
  </si>
  <si>
    <t>% Tiempo de operación en cada caso de carga (Top)</t>
  </si>
  <si>
    <t>% Potencia en relación a la potencia máxima</t>
  </si>
  <si>
    <t>Potencia necesaria motor eléctrico (kW) (Pme)</t>
  </si>
  <si>
    <t>Tasa actualización euro entre 2015 y 2020</t>
  </si>
  <si>
    <t>Tasa actualización euro entre 2018 y 2020</t>
  </si>
  <si>
    <t>Ud</t>
  </si>
  <si>
    <t>Consumo eléctrico anual debido al motor eléctrico (kWh) (Cm)</t>
  </si>
  <si>
    <t>Consumo eléctrico anual debido al consumo en estaciones (kWh) (Ce)</t>
  </si>
  <si>
    <t>TOTAL COSTE MEDIO DE OPERACIÓN Y MANTENIMIENTO</t>
  </si>
  <si>
    <t>Mantenimiento extraordinario estaciones y línea (promedio 30 años)</t>
  </si>
  <si>
    <t>TOTAL COSTO MEDIO DE OPERACIÓN Y MANTENIMIENTO (Promedio 30 años)</t>
  </si>
  <si>
    <t>Coste de Operación y mantenimiento anual</t>
  </si>
  <si>
    <t>Estudio y cálculo de las cimentaciones de estaciones, anclajes de los cables portadores, apoyos, andenes. Estudios de detalle y particulares para redacción del dosier técnico y administrativo. Incluye el proyecto de Seguridad y Salud</t>
  </si>
  <si>
    <t>Coordinación y dirección de las Obras por parte del Constructor. Incluye el seguimiento de la seguridad y salud en el trabajo.</t>
  </si>
  <si>
    <t>Supervisión de las Obras y vigilancia ambiental, por entidad de supervisión/control externa a la constructora</t>
  </si>
  <si>
    <t>Resumen de datos de entrada</t>
  </si>
  <si>
    <t>Tasa de Cambio COP/euro</t>
  </si>
  <si>
    <t>Tasa de cambio COP/euro</t>
  </si>
  <si>
    <t>Salario bruto anual para Colombia en COP (2015)</t>
  </si>
  <si>
    <t>Salario bruto anual para Colombia en COP (2021)</t>
  </si>
  <si>
    <t>Tasa inflación 2015-2020</t>
  </si>
  <si>
    <t>Salario bruto anual (COP)</t>
  </si>
  <si>
    <t>TOTAL (COP) 2021</t>
  </si>
  <si>
    <t>TOTAL COP 2021</t>
  </si>
  <si>
    <t>COP</t>
  </si>
  <si>
    <t>Asumido por Transmicable</t>
  </si>
  <si>
    <t>Costo COP</t>
  </si>
  <si>
    <t>Precio del kWh en Colombia</t>
  </si>
  <si>
    <t>Tasa de cambio COP/€</t>
  </si>
  <si>
    <t>TC Antecedentes. FASE 1</t>
  </si>
  <si>
    <t>Precio del kWh (COP)</t>
  </si>
  <si>
    <t>Mantenimiento edificios</t>
  </si>
  <si>
    <t>Agua</t>
  </si>
  <si>
    <t>Telefonía fija e informática</t>
  </si>
  <si>
    <t>Seguro</t>
  </si>
  <si>
    <t>Otros insumos (material de limpieza, papelería, uniformes)</t>
  </si>
  <si>
    <t xml:space="preserve">Longitud en planta </t>
  </si>
  <si>
    <t>Longitud desarrollada</t>
  </si>
  <si>
    <t>Coste de inversión (electromecánico)</t>
  </si>
  <si>
    <t>Tramo 1 Estación Portal 20 de Julio - La Victoria</t>
  </si>
  <si>
    <t>Tramo 1. Alt 4</t>
  </si>
  <si>
    <t>Tramo 2. Alt 2</t>
  </si>
  <si>
    <t>Tramo2. Estación La Victoria - Altamira</t>
  </si>
  <si>
    <t>Ramal Estación La Victoria - Juan Rey</t>
  </si>
  <si>
    <t>Tramo 1. Alt 6</t>
  </si>
  <si>
    <t>Ramal. Alt 1</t>
  </si>
  <si>
    <t>Ramal. Alt 3</t>
  </si>
  <si>
    <t>Proyecto de ingeniería</t>
  </si>
  <si>
    <t>Conjunto de estaciones y maquinaria</t>
  </si>
  <si>
    <t>Transporte y distribución</t>
  </si>
  <si>
    <t>Montaje y reglajes y pruebas previos a la puesta en marcha</t>
  </si>
  <si>
    <t>Obra civil (hormigón armado) de la parte electromecánica</t>
  </si>
  <si>
    <t>Costo de personal técnico de operación</t>
  </si>
  <si>
    <t>Costo de mantenimiento anual y extraordinario</t>
  </si>
  <si>
    <t>Costo energético</t>
  </si>
  <si>
    <t>Coste de Operación y mantenimiento anual (electromecáinico)</t>
  </si>
  <si>
    <t>COSTO TOTAL DE INVERSIÓN</t>
  </si>
  <si>
    <t>Suministro de estación motriz</t>
  </si>
  <si>
    <t>Suministro de estación retorno</t>
  </si>
  <si>
    <t>Suministro del sistema de almacenamiento de cabinas</t>
  </si>
  <si>
    <t>Suministro de equipamiento de línea (incl. señalización y varios)</t>
  </si>
  <si>
    <t>Línea (incl. Vehículos) y señalización y varios</t>
  </si>
  <si>
    <t>Suministro de vehículos (incl. Sistema de comunicación, iluminación, etc)</t>
  </si>
  <si>
    <t>Coste inversión electromecánico. Formato Fase 2 Factibilidad. Informe 1. Sin pilotes</t>
  </si>
  <si>
    <t>Coste inversión electromecánico. Formato Fase 2 Factibilidad. Para CAPEX plantilla IDU. Valor incluye costos directos -30%)</t>
  </si>
  <si>
    <t>Ramal. Alt 2</t>
  </si>
  <si>
    <t>Tramo 2. Alt 5</t>
  </si>
  <si>
    <t>Tramo 2. Alt 3</t>
  </si>
  <si>
    <t>Tramo 1. Alt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</si>
</sst>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);\-#,##0"/>
    <numFmt numFmtId="165" formatCode="#,##0.00_);\-#,##0.00"/>
    <numFmt numFmtId="166" formatCode="#,##0\ &quot;€&quot;"/>
    <numFmt numFmtId="167" formatCode="0.0"/>
    <numFmt numFmtId="168" formatCode="0.0%"/>
    <numFmt numFmtId="169" formatCode="#,##0.00\ [$COP]"/>
  </numFmts>
  <fonts count="41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Times New Roman"/>
      <family val="1"/>
      <charset val="204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4">
    <xf numFmtId="0" fontId="0" fillId="0" borderId="0" applyNumberFormat="0" applyFill="0" applyBorder="0" applyProtection="0">
      <alignment vertical="top" wrapText="1"/>
    </xf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4" applyNumberFormat="0" applyAlignment="0" applyProtection="0"/>
    <xf numFmtId="0" fontId="17" fillId="6" borderId="5" applyNumberFormat="0" applyAlignment="0" applyProtection="0"/>
    <xf numFmtId="0" fontId="18" fillId="6" borderId="4" applyNumberFormat="0" applyAlignment="0" applyProtection="0"/>
    <xf numFmtId="0" fontId="19" fillId="0" borderId="6" applyNumberFormat="0" applyFill="0" applyAlignment="0" applyProtection="0"/>
    <xf numFmtId="0" fontId="20" fillId="7" borderId="7" applyNumberFormat="0" applyAlignment="0" applyProtection="0"/>
    <xf numFmtId="0" fontId="21" fillId="0" borderId="0" applyNumberFormat="0" applyFill="0" applyBorder="0" applyAlignment="0" applyProtection="0"/>
    <xf numFmtId="0" fontId="8" fillId="8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32" borderId="0" applyNumberFormat="0" applyBorder="0" applyAlignment="0" applyProtection="0"/>
    <xf numFmtId="9" fontId="25" fillId="0" borderId="0" applyFont="0" applyFill="0" applyBorder="0" applyAlignment="0" applyProtection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>
      <alignment vertical="top" wrapText="1"/>
    </xf>
    <xf numFmtId="0" fontId="26" fillId="0" borderId="0" xfId="0" applyFont="1" applyAlignment="1">
      <alignment horizontal="center" vertical="center" textRotation="90" wrapText="1"/>
    </xf>
    <xf numFmtId="0" fontId="26" fillId="0" borderId="12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center" vertical="center" wrapText="1"/>
    </xf>
    <xf numFmtId="3" fontId="26" fillId="0" borderId="0" xfId="0" applyNumberFormat="1" applyFont="1" applyAlignment="1">
      <alignment vertical="center" wrapText="1"/>
    </xf>
    <xf numFmtId="3" fontId="26" fillId="0" borderId="0" xfId="0" applyNumberFormat="1" applyFont="1" applyAlignment="1">
      <alignment horizontal="left" vertical="center" wrapText="1"/>
    </xf>
    <xf numFmtId="3" fontId="26" fillId="0" borderId="0" xfId="0" applyNumberFormat="1" applyFont="1" applyAlignment="1">
      <alignment horizontal="center" vertical="center" wrapText="1"/>
    </xf>
    <xf numFmtId="3" fontId="26" fillId="0" borderId="12" xfId="0" applyNumberFormat="1" applyFont="1" applyBorder="1" applyAlignment="1">
      <alignment horizontal="left" vertical="center" wrapText="1"/>
    </xf>
    <xf numFmtId="3" fontId="26" fillId="0" borderId="12" xfId="0" applyNumberFormat="1" applyFont="1" applyBorder="1" applyAlignment="1">
      <alignment horizontal="center" vertical="center" wrapText="1"/>
    </xf>
    <xf numFmtId="3" fontId="28" fillId="0" borderId="0" xfId="0" applyNumberFormat="1" applyFont="1" applyAlignment="1">
      <alignment vertical="center" wrapText="1"/>
    </xf>
    <xf numFmtId="3" fontId="29" fillId="0" borderId="12" xfId="0" applyNumberFormat="1" applyFont="1" applyFill="1" applyBorder="1" applyAlignment="1">
      <alignment horizontal="center" vertical="center" wrapText="1"/>
    </xf>
    <xf numFmtId="3" fontId="30" fillId="0" borderId="0" xfId="0" applyNumberFormat="1" applyFont="1" applyFill="1" applyAlignment="1">
      <alignment horizontal="center" vertical="center" wrapText="1"/>
    </xf>
    <xf numFmtId="0" fontId="26" fillId="0" borderId="0" xfId="0" applyFont="1" applyBorder="1" applyAlignment="1">
      <alignment horizontal="center" vertical="center" textRotation="90" wrapText="1"/>
    </xf>
    <xf numFmtId="0" fontId="26" fillId="0" borderId="0" xfId="0" applyFont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textRotation="90" wrapText="1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167" fontId="26" fillId="0" borderId="12" xfId="0" applyNumberFormat="1" applyFont="1" applyBorder="1" applyAlignment="1">
      <alignment horizontal="center" vertical="center" wrapText="1"/>
    </xf>
    <xf numFmtId="0" fontId="26" fillId="34" borderId="12" xfId="0" applyFont="1" applyFill="1" applyBorder="1" applyAlignment="1">
      <alignment horizontal="center" vertical="center" wrapText="1"/>
    </xf>
    <xf numFmtId="3" fontId="26" fillId="34" borderId="12" xfId="0" applyNumberFormat="1" applyFont="1" applyFill="1" applyBorder="1" applyAlignment="1">
      <alignment horizontal="center" vertical="center" wrapText="1"/>
    </xf>
    <xf numFmtId="166" fontId="27" fillId="33" borderId="12" xfId="0" quotePrefix="1" applyNumberFormat="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166" fontId="27" fillId="0" borderId="0" xfId="0" quotePrefix="1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 wrapText="1"/>
    </xf>
    <xf numFmtId="0" fontId="26" fillId="0" borderId="14" xfId="0" applyFont="1" applyBorder="1" applyAlignment="1">
      <alignment horizontal="left" vertical="center" wrapText="1"/>
    </xf>
    <xf numFmtId="0" fontId="26" fillId="0" borderId="14" xfId="0" applyFont="1" applyBorder="1" applyAlignment="1">
      <alignment vertical="center" wrapText="1"/>
    </xf>
    <xf numFmtId="0" fontId="27" fillId="33" borderId="14" xfId="0" applyFont="1" applyFill="1" applyBorder="1" applyAlignment="1">
      <alignment vertical="center" wrapText="1"/>
    </xf>
    <xf numFmtId="0" fontId="26" fillId="0" borderId="14" xfId="0" applyFont="1" applyBorder="1" applyAlignment="1">
      <alignment horizontal="left" vertical="center"/>
    </xf>
    <xf numFmtId="0" fontId="26" fillId="0" borderId="16" xfId="0" applyFont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6" fillId="0" borderId="17" xfId="0" applyFont="1" applyBorder="1" applyAlignment="1">
      <alignment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166" fontId="26" fillId="0" borderId="26" xfId="0" applyNumberFormat="1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1" fontId="27" fillId="33" borderId="21" xfId="0" applyNumberFormat="1" applyFont="1" applyFill="1" applyBorder="1" applyAlignment="1">
      <alignment horizontal="center" vertical="center" wrapText="1"/>
    </xf>
    <xf numFmtId="1" fontId="27" fillId="0" borderId="16" xfId="0" applyNumberFormat="1" applyFont="1" applyFill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1" fontId="27" fillId="33" borderId="29" xfId="0" applyNumberFormat="1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left" vertical="center" wrapText="1" indent="5"/>
    </xf>
    <xf numFmtId="0" fontId="26" fillId="0" borderId="14" xfId="0" applyFont="1" applyFill="1" applyBorder="1" applyAlignment="1">
      <alignment horizontal="left" vertical="center" wrapText="1"/>
    </xf>
    <xf numFmtId="9" fontId="26" fillId="0" borderId="26" xfId="42" applyFont="1" applyFill="1" applyBorder="1" applyAlignment="1">
      <alignment horizontal="center" vertical="center" wrapText="1"/>
    </xf>
    <xf numFmtId="0" fontId="26" fillId="0" borderId="30" xfId="0" applyFont="1" applyBorder="1" applyAlignment="1">
      <alignment vertical="center" wrapText="1"/>
    </xf>
    <xf numFmtId="3" fontId="26" fillId="0" borderId="16" xfId="0" applyNumberFormat="1" applyFont="1" applyBorder="1" applyAlignment="1">
      <alignment horizontal="center" vertical="center" wrapText="1"/>
    </xf>
    <xf numFmtId="1" fontId="27" fillId="33" borderId="29" xfId="0" applyNumberFormat="1" applyFont="1" applyFill="1" applyBorder="1" applyAlignment="1">
      <alignment horizontal="left" vertical="center" wrapText="1"/>
    </xf>
    <xf numFmtId="3" fontId="26" fillId="0" borderId="12" xfId="0" applyNumberFormat="1" applyFont="1" applyBorder="1" applyAlignment="1">
      <alignment horizontal="center" vertical="center" wrapText="1"/>
    </xf>
    <xf numFmtId="3" fontId="26" fillId="0" borderId="12" xfId="0" applyNumberFormat="1" applyFont="1" applyBorder="1" applyAlignment="1">
      <alignment horizontal="center" vertical="center" wrapText="1"/>
    </xf>
    <xf numFmtId="3" fontId="26" fillId="0" borderId="12" xfId="0" applyNumberFormat="1" applyFont="1" applyBorder="1" applyAlignment="1">
      <alignment horizontal="center" vertical="center" wrapText="1"/>
    </xf>
    <xf numFmtId="165" fontId="34" fillId="0" borderId="12" xfId="0" applyNumberFormat="1" applyFont="1" applyFill="1" applyBorder="1" applyAlignment="1">
      <alignment horizontal="right" vertical="top" wrapText="1"/>
    </xf>
    <xf numFmtId="165" fontId="34" fillId="0" borderId="12" xfId="0" applyNumberFormat="1" applyFont="1" applyFill="1" applyBorder="1" applyAlignment="1">
      <alignment horizontal="left" vertical="top" wrapText="1"/>
    </xf>
    <xf numFmtId="165" fontId="34" fillId="0" borderId="12" xfId="0" applyNumberFormat="1" applyFont="1" applyFill="1" applyBorder="1" applyAlignment="1">
      <alignment horizontal="center" vertical="top"/>
    </xf>
    <xf numFmtId="164" fontId="34" fillId="33" borderId="12" xfId="0" applyNumberFormat="1" applyFont="1" applyFill="1" applyBorder="1" applyAlignment="1">
      <alignment horizontal="right" vertical="center" wrapText="1"/>
    </xf>
    <xf numFmtId="164" fontId="35" fillId="33" borderId="12" xfId="0" applyNumberFormat="1" applyFont="1" applyFill="1" applyBorder="1" applyAlignment="1">
      <alignment horizontal="left" vertical="center" wrapText="1"/>
    </xf>
    <xf numFmtId="164" fontId="34" fillId="33" borderId="12" xfId="0" applyNumberFormat="1" applyFont="1" applyFill="1" applyBorder="1" applyAlignment="1">
      <alignment horizontal="center" vertical="center"/>
    </xf>
    <xf numFmtId="4" fontId="35" fillId="33" borderId="12" xfId="0" applyNumberFormat="1" applyFont="1" applyFill="1" applyBorder="1" applyAlignment="1">
      <alignment horizontal="center" vertical="center"/>
    </xf>
    <xf numFmtId="4" fontId="34" fillId="0" borderId="12" xfId="0" applyNumberFormat="1" applyFont="1" applyFill="1" applyBorder="1" applyAlignment="1">
      <alignment horizontal="center" vertical="top"/>
    </xf>
    <xf numFmtId="3" fontId="26" fillId="0" borderId="12" xfId="0" applyNumberFormat="1" applyFont="1" applyBorder="1" applyAlignment="1">
      <alignment horizontal="center" vertical="center" wrapText="1"/>
    </xf>
    <xf numFmtId="165" fontId="34" fillId="0" borderId="12" xfId="0" applyNumberFormat="1" applyFont="1" applyFill="1" applyBorder="1" applyAlignment="1">
      <alignment horizontal="center" vertical="top" wrapText="1"/>
    </xf>
    <xf numFmtId="9" fontId="34" fillId="0" borderId="12" xfId="42" applyFont="1" applyFill="1" applyBorder="1" applyAlignment="1">
      <alignment horizontal="center" vertical="top"/>
    </xf>
    <xf numFmtId="168" fontId="34" fillId="0" borderId="12" xfId="42" applyNumberFormat="1" applyFont="1" applyFill="1" applyBorder="1" applyAlignment="1">
      <alignment horizontal="center" vertical="top"/>
    </xf>
    <xf numFmtId="3" fontId="27" fillId="0" borderId="12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Border="1" applyAlignment="1">
      <alignment horizontal="center" vertical="center" wrapText="1"/>
    </xf>
    <xf numFmtId="168" fontId="26" fillId="34" borderId="12" xfId="42" applyNumberFormat="1" applyFont="1" applyFill="1" applyBorder="1" applyAlignment="1">
      <alignment horizontal="center" vertical="center" wrapText="1"/>
    </xf>
    <xf numFmtId="164" fontId="34" fillId="37" borderId="12" xfId="0" applyNumberFormat="1" applyFont="1" applyFill="1" applyBorder="1" applyAlignment="1">
      <alignment horizontal="right" vertical="center" wrapText="1"/>
    </xf>
    <xf numFmtId="164" fontId="35" fillId="37" borderId="12" xfId="0" applyNumberFormat="1" applyFont="1" applyFill="1" applyBorder="1" applyAlignment="1">
      <alignment horizontal="left" vertical="center" wrapText="1"/>
    </xf>
    <xf numFmtId="164" fontId="34" fillId="37" borderId="12" xfId="0" applyNumberFormat="1" applyFont="1" applyFill="1" applyBorder="1" applyAlignment="1">
      <alignment horizontal="center" vertical="center"/>
    </xf>
    <xf numFmtId="4" fontId="35" fillId="37" borderId="12" xfId="0" applyNumberFormat="1" applyFont="1" applyFill="1" applyBorder="1" applyAlignment="1">
      <alignment horizontal="center" vertical="center"/>
    </xf>
    <xf numFmtId="0" fontId="34" fillId="35" borderId="12" xfId="0" applyFont="1" applyFill="1" applyBorder="1" applyAlignment="1">
      <alignment horizontal="right" vertical="center" wrapText="1"/>
    </xf>
    <xf numFmtId="3" fontId="27" fillId="37" borderId="12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/>
    </xf>
    <xf numFmtId="4" fontId="31" fillId="0" borderId="0" xfId="0" applyNumberFormat="1" applyFont="1" applyFill="1" applyBorder="1" applyAlignment="1">
      <alignment horizontal="center" vertical="center"/>
    </xf>
    <xf numFmtId="3" fontId="26" fillId="0" borderId="12" xfId="0" applyNumberFormat="1" applyFont="1" applyBorder="1" applyAlignment="1">
      <alignment horizontal="center" vertical="center" wrapText="1"/>
    </xf>
    <xf numFmtId="3" fontId="26" fillId="0" borderId="0" xfId="0" applyNumberFormat="1" applyFont="1" applyBorder="1" applyAlignment="1">
      <alignment vertical="center" wrapText="1"/>
    </xf>
    <xf numFmtId="0" fontId="26" fillId="0" borderId="12" xfId="0" applyFont="1" applyBorder="1" applyAlignment="1">
      <alignment vertical="center" wrapText="1"/>
    </xf>
    <xf numFmtId="9" fontId="26" fillId="0" borderId="12" xfId="42" applyFont="1" applyBorder="1" applyAlignment="1">
      <alignment horizontal="center" vertical="center" wrapText="1"/>
    </xf>
    <xf numFmtId="3" fontId="26" fillId="0" borderId="0" xfId="0" applyNumberFormat="1" applyFont="1" applyFill="1" applyAlignment="1">
      <alignment vertical="center" wrapText="1"/>
    </xf>
    <xf numFmtId="3" fontId="26" fillId="0" borderId="0" xfId="0" applyNumberFormat="1" applyFont="1" applyFill="1" applyBorder="1" applyAlignment="1">
      <alignment horizontal="center" vertical="center" textRotation="90" wrapText="1"/>
    </xf>
    <xf numFmtId="0" fontId="26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wrapText="1"/>
    </xf>
    <xf numFmtId="9" fontId="26" fillId="0" borderId="0" xfId="42" applyFont="1" applyFill="1" applyBorder="1" applyAlignment="1">
      <alignment horizontal="center" vertical="center" wrapText="1"/>
    </xf>
    <xf numFmtId="3" fontId="26" fillId="0" borderId="0" xfId="0" applyNumberFormat="1" applyFont="1" applyFill="1" applyBorder="1" applyAlignment="1">
      <alignment horizontal="center" vertical="center" wrapText="1"/>
    </xf>
    <xf numFmtId="3" fontId="40" fillId="0" borderId="0" xfId="0" applyNumberFormat="1" applyFont="1" applyFill="1" applyBorder="1" applyAlignment="1">
      <alignment horizontal="center" vertical="center" wrapText="1"/>
    </xf>
    <xf numFmtId="3" fontId="27" fillId="33" borderId="12" xfId="0" applyNumberFormat="1" applyFont="1" applyFill="1" applyBorder="1" applyAlignment="1">
      <alignment horizontal="center" vertical="center" wrapText="1"/>
    </xf>
    <xf numFmtId="3" fontId="27" fillId="33" borderId="12" xfId="0" applyNumberFormat="1" applyFont="1" applyFill="1" applyBorder="1" applyAlignment="1">
      <alignment horizontal="left" vertical="center" wrapText="1"/>
    </xf>
    <xf numFmtId="3" fontId="27" fillId="0" borderId="0" xfId="0" applyNumberFormat="1" applyFont="1" applyFill="1" applyBorder="1" applyAlignment="1">
      <alignment horizontal="center" vertical="center" wrapText="1"/>
    </xf>
    <xf numFmtId="3" fontId="26" fillId="0" borderId="0" xfId="0" applyNumberFormat="1" applyFont="1" applyFill="1" applyBorder="1" applyAlignment="1">
      <alignment vertical="center" wrapText="1"/>
    </xf>
    <xf numFmtId="3" fontId="26" fillId="0" borderId="0" xfId="0" applyNumberFormat="1" applyFont="1" applyFill="1" applyBorder="1" applyAlignment="1">
      <alignment vertical="center"/>
    </xf>
    <xf numFmtId="3" fontId="28" fillId="0" borderId="0" xfId="0" applyNumberFormat="1" applyFont="1" applyFill="1" applyBorder="1" applyAlignment="1">
      <alignment vertical="center" wrapText="1"/>
    </xf>
    <xf numFmtId="0" fontId="40" fillId="0" borderId="0" xfId="0" applyFont="1" applyBorder="1" applyAlignment="1">
      <alignment vertical="center" textRotation="90" wrapText="1"/>
    </xf>
    <xf numFmtId="3" fontId="27" fillId="0" borderId="0" xfId="0" applyNumberFormat="1" applyFont="1" applyFill="1" applyBorder="1" applyAlignment="1">
      <alignment horizontal="left" vertical="center" wrapText="1"/>
    </xf>
    <xf numFmtId="3" fontId="32" fillId="35" borderId="12" xfId="0" applyNumberFormat="1" applyFont="1" applyFill="1" applyBorder="1" applyAlignment="1">
      <alignment horizontal="center" vertical="center"/>
    </xf>
    <xf numFmtId="3" fontId="32" fillId="35" borderId="12" xfId="0" applyNumberFormat="1" applyFont="1" applyFill="1" applyBorder="1" applyAlignment="1">
      <alignment horizontal="center" vertical="center" wrapText="1"/>
    </xf>
    <xf numFmtId="4" fontId="32" fillId="35" borderId="12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right" vertical="center" wrapText="1"/>
    </xf>
    <xf numFmtId="0" fontId="31" fillId="0" borderId="0" xfId="0" applyFont="1" applyFill="1" applyBorder="1" applyAlignment="1">
      <alignment vertical="center" wrapText="1"/>
    </xf>
    <xf numFmtId="0" fontId="32" fillId="0" borderId="0" xfId="0" applyFont="1" applyFill="1" applyBorder="1" applyAlignment="1">
      <alignment horizontal="right" vertical="center" wrapText="1"/>
    </xf>
    <xf numFmtId="0" fontId="33" fillId="0" borderId="0" xfId="0" applyFont="1" applyFill="1" applyBorder="1" applyAlignment="1">
      <alignment horizontal="right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 wrapText="1"/>
    </xf>
    <xf numFmtId="9" fontId="26" fillId="0" borderId="12" xfId="42" applyFont="1" applyFill="1" applyBorder="1" applyAlignment="1">
      <alignment horizontal="center" vertical="center" wrapText="1"/>
    </xf>
    <xf numFmtId="0" fontId="27" fillId="33" borderId="33" xfId="0" applyFont="1" applyFill="1" applyBorder="1" applyAlignment="1">
      <alignment vertical="center" wrapText="1"/>
    </xf>
    <xf numFmtId="3" fontId="26" fillId="0" borderId="34" xfId="0" applyNumberFormat="1" applyFont="1" applyBorder="1" applyAlignment="1">
      <alignment horizontal="center" vertical="center" wrapText="1"/>
    </xf>
    <xf numFmtId="0" fontId="27" fillId="37" borderId="14" xfId="0" applyFont="1" applyFill="1" applyBorder="1" applyAlignment="1">
      <alignment vertical="center" wrapText="1"/>
    </xf>
    <xf numFmtId="0" fontId="27" fillId="37" borderId="21" xfId="0" applyFont="1" applyFill="1" applyBorder="1" applyAlignment="1">
      <alignment vertical="center"/>
    </xf>
    <xf numFmtId="166" fontId="27" fillId="37" borderId="12" xfId="0" quotePrefix="1" applyNumberFormat="1" applyFont="1" applyFill="1" applyBorder="1" applyAlignment="1">
      <alignment horizontal="center" vertical="center" wrapText="1"/>
    </xf>
    <xf numFmtId="0" fontId="27" fillId="37" borderId="29" xfId="0" applyFont="1" applyFill="1" applyBorder="1" applyAlignment="1">
      <alignment vertical="center"/>
    </xf>
    <xf numFmtId="166" fontId="27" fillId="37" borderId="15" xfId="0" quotePrefix="1" applyNumberFormat="1" applyFont="1" applyFill="1" applyBorder="1" applyAlignment="1">
      <alignment horizontal="center" vertical="center" wrapText="1"/>
    </xf>
    <xf numFmtId="0" fontId="27" fillId="37" borderId="22" xfId="0" applyFont="1" applyFill="1" applyBorder="1" applyAlignment="1">
      <alignment vertical="center" wrapText="1"/>
    </xf>
    <xf numFmtId="1" fontId="27" fillId="37" borderId="22" xfId="0" applyNumberFormat="1" applyFont="1" applyFill="1" applyBorder="1" applyAlignment="1">
      <alignment horizontal="center" vertical="center" wrapText="1"/>
    </xf>
    <xf numFmtId="166" fontId="27" fillId="37" borderId="23" xfId="0" quotePrefix="1" applyNumberFormat="1" applyFont="1" applyFill="1" applyBorder="1" applyAlignment="1">
      <alignment horizontal="center" vertical="center" wrapText="1"/>
    </xf>
    <xf numFmtId="0" fontId="0" fillId="0" borderId="0" xfId="0" applyBorder="1">
      <alignment vertical="top" wrapText="1"/>
    </xf>
    <xf numFmtId="4" fontId="0" fillId="0" borderId="0" xfId="0" applyNumberFormat="1" applyBorder="1">
      <alignment vertical="top" wrapText="1"/>
    </xf>
    <xf numFmtId="4" fontId="35" fillId="33" borderId="15" xfId="0" applyNumberFormat="1" applyFont="1" applyFill="1" applyBorder="1" applyAlignment="1">
      <alignment horizontal="center" vertical="center"/>
    </xf>
    <xf numFmtId="164" fontId="34" fillId="33" borderId="14" xfId="0" applyNumberFormat="1" applyFont="1" applyFill="1" applyBorder="1" applyAlignment="1">
      <alignment horizontal="right" vertical="center" wrapText="1"/>
    </xf>
    <xf numFmtId="0" fontId="34" fillId="35" borderId="14" xfId="0" applyFont="1" applyFill="1" applyBorder="1" applyAlignment="1">
      <alignment horizontal="right" vertical="center" wrapText="1"/>
    </xf>
    <xf numFmtId="164" fontId="35" fillId="33" borderId="10" xfId="0" applyNumberFormat="1" applyFont="1" applyFill="1" applyBorder="1" applyAlignment="1">
      <alignment horizontal="left" vertical="center" wrapText="1"/>
    </xf>
    <xf numFmtId="164" fontId="34" fillId="33" borderId="13" xfId="0" applyNumberFormat="1" applyFont="1" applyFill="1" applyBorder="1" applyAlignment="1">
      <alignment horizontal="center" vertical="center"/>
    </xf>
    <xf numFmtId="164" fontId="34" fillId="33" borderId="20" xfId="0" applyNumberFormat="1" applyFont="1" applyFill="1" applyBorder="1" applyAlignment="1">
      <alignment horizontal="center" vertical="center"/>
    </xf>
    <xf numFmtId="0" fontId="34" fillId="35" borderId="14" xfId="0" applyFont="1" applyFill="1" applyBorder="1" applyAlignment="1">
      <alignment vertical="center" wrapText="1"/>
    </xf>
    <xf numFmtId="0" fontId="34" fillId="35" borderId="31" xfId="0" applyFont="1" applyFill="1" applyBorder="1" applyAlignment="1">
      <alignment horizontal="center" vertical="center"/>
    </xf>
    <xf numFmtId="0" fontId="34" fillId="35" borderId="15" xfId="0" applyFont="1" applyFill="1" applyBorder="1" applyAlignment="1">
      <alignment horizontal="center" vertical="center"/>
    </xf>
    <xf numFmtId="164" fontId="34" fillId="37" borderId="14" xfId="0" applyNumberFormat="1" applyFont="1" applyFill="1" applyBorder="1" applyAlignment="1">
      <alignment horizontal="right" vertical="center" wrapText="1"/>
    </xf>
    <xf numFmtId="0" fontId="34" fillId="35" borderId="10" xfId="0" applyFont="1" applyFill="1" applyBorder="1" applyAlignment="1">
      <alignment vertical="center" wrapText="1"/>
    </xf>
    <xf numFmtId="0" fontId="34" fillId="35" borderId="13" xfId="0" applyFont="1" applyFill="1" applyBorder="1" applyAlignment="1">
      <alignment horizontal="center" vertical="center"/>
    </xf>
    <xf numFmtId="0" fontId="34" fillId="35" borderId="20" xfId="0" applyFont="1" applyFill="1" applyBorder="1" applyAlignment="1">
      <alignment horizontal="center" vertical="center"/>
    </xf>
    <xf numFmtId="164" fontId="35" fillId="37" borderId="14" xfId="0" applyNumberFormat="1" applyFont="1" applyFill="1" applyBorder="1" applyAlignment="1">
      <alignment horizontal="left" vertical="center" wrapText="1"/>
    </xf>
    <xf numFmtId="164" fontId="34" fillId="37" borderId="31" xfId="0" applyNumberFormat="1" applyFont="1" applyFill="1" applyBorder="1" applyAlignment="1">
      <alignment horizontal="center" vertical="center"/>
    </xf>
    <xf numFmtId="164" fontId="34" fillId="37" borderId="15" xfId="0" applyNumberFormat="1" applyFont="1" applyFill="1" applyBorder="1" applyAlignment="1">
      <alignment horizontal="center" vertical="center"/>
    </xf>
    <xf numFmtId="0" fontId="27" fillId="37" borderId="12" xfId="0" applyFont="1" applyFill="1" applyBorder="1" applyAlignment="1">
      <alignment horizontal="left" vertical="center" wrapText="1"/>
    </xf>
    <xf numFmtId="3" fontId="27" fillId="37" borderId="12" xfId="0" applyNumberFormat="1" applyFont="1" applyFill="1" applyBorder="1" applyAlignment="1">
      <alignment horizontal="left" vertical="center" wrapText="1"/>
    </xf>
    <xf numFmtId="3" fontId="26" fillId="0" borderId="12" xfId="0" applyNumberFormat="1" applyFont="1" applyFill="1" applyBorder="1" applyAlignment="1">
      <alignment horizontal="center" vertical="center" wrapText="1"/>
    </xf>
    <xf numFmtId="3" fontId="34" fillId="35" borderId="15" xfId="0" applyNumberFormat="1" applyFont="1" applyFill="1" applyBorder="1" applyAlignment="1">
      <alignment horizontal="center" vertical="center"/>
    </xf>
    <xf numFmtId="3" fontId="34" fillId="35" borderId="12" xfId="0" applyNumberFormat="1" applyFont="1" applyFill="1" applyBorder="1" applyAlignment="1">
      <alignment horizontal="center" vertical="center"/>
    </xf>
    <xf numFmtId="3" fontId="35" fillId="37" borderId="15" xfId="0" applyNumberFormat="1" applyFont="1" applyFill="1" applyBorder="1" applyAlignment="1">
      <alignment horizontal="center" vertical="center"/>
    </xf>
    <xf numFmtId="4" fontId="31" fillId="39" borderId="0" xfId="0" applyNumberFormat="1" applyFont="1" applyFill="1" applyBorder="1" applyAlignment="1">
      <alignment horizontal="center" vertical="center"/>
    </xf>
    <xf numFmtId="3" fontId="26" fillId="0" borderId="12" xfId="0" applyNumberFormat="1" applyFont="1" applyBorder="1" applyAlignment="1">
      <alignment vertical="center" wrapText="1"/>
    </xf>
    <xf numFmtId="3" fontId="27" fillId="37" borderId="26" xfId="0" applyNumberFormat="1" applyFont="1" applyFill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166" fontId="21" fillId="0" borderId="12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3" fontId="27" fillId="33" borderId="19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 wrapText="1"/>
    </xf>
    <xf numFmtId="3" fontId="27" fillId="37" borderId="12" xfId="0" quotePrefix="1" applyNumberFormat="1" applyFont="1" applyFill="1" applyBorder="1" applyAlignment="1">
      <alignment horizontal="center" vertical="center" wrapText="1"/>
    </xf>
    <xf numFmtId="3" fontId="26" fillId="0" borderId="12" xfId="0" applyNumberFormat="1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textRotation="90" wrapText="1"/>
    </xf>
    <xf numFmtId="3" fontId="26" fillId="40" borderId="0" xfId="0" applyNumberFormat="1" applyFont="1" applyFill="1" applyAlignment="1">
      <alignment horizontal="left" vertical="center" wrapText="1"/>
    </xf>
    <xf numFmtId="4" fontId="31" fillId="40" borderId="0" xfId="0" applyNumberFormat="1" applyFont="1" applyFill="1" applyBorder="1" applyAlignment="1">
      <alignment horizontal="left" vertical="center"/>
    </xf>
    <xf numFmtId="9" fontId="27" fillId="40" borderId="0" xfId="42" applyFont="1" applyFill="1" applyAlignment="1">
      <alignment horizontal="center" vertical="center" wrapText="1"/>
    </xf>
    <xf numFmtId="4" fontId="32" fillId="40" borderId="0" xfId="0" applyNumberFormat="1" applyFont="1" applyFill="1" applyBorder="1" applyAlignment="1">
      <alignment horizontal="center" vertical="center"/>
    </xf>
    <xf numFmtId="166" fontId="21" fillId="0" borderId="0" xfId="0" applyNumberFormat="1" applyFont="1" applyBorder="1" applyAlignment="1">
      <alignment horizontal="center" vertical="center" wrapText="1"/>
    </xf>
    <xf numFmtId="0" fontId="40" fillId="0" borderId="0" xfId="0" applyFont="1" applyFill="1" applyBorder="1" applyAlignment="1">
      <alignment vertical="center" textRotation="90" wrapText="1"/>
    </xf>
    <xf numFmtId="166" fontId="27" fillId="0" borderId="0" xfId="0" applyNumberFormat="1" applyFont="1" applyFill="1" applyBorder="1" applyAlignment="1">
      <alignment horizontal="center" vertical="center" wrapText="1"/>
    </xf>
    <xf numFmtId="3" fontId="27" fillId="36" borderId="12" xfId="0" applyNumberFormat="1" applyFont="1" applyFill="1" applyBorder="1" applyAlignment="1">
      <alignment horizontal="center" vertical="center" wrapText="1"/>
    </xf>
    <xf numFmtId="3" fontId="27" fillId="42" borderId="12" xfId="0" applyNumberFormat="1" applyFont="1" applyFill="1" applyBorder="1" applyAlignment="1">
      <alignment horizontal="center" vertical="center" wrapText="1"/>
    </xf>
    <xf numFmtId="3" fontId="27" fillId="40" borderId="12" xfId="0" applyNumberFormat="1" applyFont="1" applyFill="1" applyBorder="1" applyAlignment="1">
      <alignment horizontal="center" vertical="center" wrapText="1"/>
    </xf>
    <xf numFmtId="3" fontId="27" fillId="39" borderId="12" xfId="0" applyNumberFormat="1" applyFont="1" applyFill="1" applyBorder="1" applyAlignment="1">
      <alignment horizontal="center" vertical="center" wrapText="1"/>
    </xf>
    <xf numFmtId="3" fontId="27" fillId="44" borderId="12" xfId="0" applyNumberFormat="1" applyFont="1" applyFill="1" applyBorder="1" applyAlignment="1">
      <alignment horizontal="center" vertical="center" wrapText="1"/>
    </xf>
    <xf numFmtId="3" fontId="27" fillId="45" borderId="12" xfId="0" applyNumberFormat="1" applyFont="1" applyFill="1" applyBorder="1" applyAlignment="1">
      <alignment horizontal="center" vertical="center" wrapText="1"/>
    </xf>
    <xf numFmtId="3" fontId="27" fillId="47" borderId="12" xfId="0" applyNumberFormat="1" applyFont="1" applyFill="1" applyBorder="1" applyAlignment="1">
      <alignment horizontal="center" vertical="center" wrapText="1"/>
    </xf>
    <xf numFmtId="3" fontId="27" fillId="38" borderId="12" xfId="0" applyNumberFormat="1" applyFont="1" applyFill="1" applyBorder="1" applyAlignment="1">
      <alignment horizontal="center" vertical="center" wrapText="1"/>
    </xf>
    <xf numFmtId="3" fontId="27" fillId="48" borderId="12" xfId="0" applyNumberFormat="1" applyFont="1" applyFill="1" applyBorder="1" applyAlignment="1">
      <alignment horizontal="center" vertical="center" wrapText="1"/>
    </xf>
    <xf numFmtId="3" fontId="21" fillId="0" borderId="0" xfId="0" applyNumberFormat="1" applyFont="1" applyFill="1" applyBorder="1" applyAlignment="1">
      <alignment vertical="center"/>
    </xf>
    <xf numFmtId="3" fontId="21" fillId="0" borderId="0" xfId="0" applyNumberFormat="1" applyFont="1" applyAlignment="1">
      <alignment vertical="center" wrapText="1"/>
    </xf>
    <xf numFmtId="3" fontId="26" fillId="0" borderId="12" xfId="0" applyNumberFormat="1" applyFont="1" applyBorder="1" applyAlignment="1">
      <alignment horizontal="center" vertical="center" wrapText="1"/>
    </xf>
    <xf numFmtId="3" fontId="26" fillId="0" borderId="21" xfId="0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169" fontId="26" fillId="0" borderId="33" xfId="0" applyNumberFormat="1" applyFont="1" applyBorder="1" applyAlignment="1">
      <alignment horizontal="center" vertical="center" wrapText="1"/>
    </xf>
    <xf numFmtId="169" fontId="27" fillId="37" borderId="12" xfId="0" applyNumberFormat="1" applyFont="1" applyFill="1" applyBorder="1" applyAlignment="1">
      <alignment horizontal="center" vertical="center" wrapText="1"/>
    </xf>
    <xf numFmtId="3" fontId="26" fillId="0" borderId="21" xfId="0" applyNumberFormat="1" applyFont="1" applyBorder="1" applyAlignment="1">
      <alignment vertical="center" wrapText="1"/>
    </xf>
    <xf numFmtId="3" fontId="26" fillId="0" borderId="26" xfId="0" applyNumberFormat="1" applyFont="1" applyBorder="1" applyAlignment="1">
      <alignment vertical="center" wrapText="1"/>
    </xf>
    <xf numFmtId="166" fontId="27" fillId="33" borderId="14" xfId="0" quotePrefix="1" applyNumberFormat="1" applyFont="1" applyFill="1" applyBorder="1" applyAlignment="1">
      <alignment horizontal="center" vertical="center" wrapText="1"/>
    </xf>
    <xf numFmtId="0" fontId="27" fillId="39" borderId="12" xfId="0" applyFont="1" applyFill="1" applyBorder="1" applyAlignment="1">
      <alignment vertical="center" wrapText="1"/>
    </xf>
    <xf numFmtId="4" fontId="27" fillId="39" borderId="12" xfId="0" applyNumberFormat="1" applyFont="1" applyFill="1" applyBorder="1" applyAlignment="1">
      <alignment vertical="center" wrapText="1"/>
    </xf>
    <xf numFmtId="0" fontId="29" fillId="0" borderId="12" xfId="0" applyFont="1" applyFill="1" applyBorder="1" applyAlignment="1">
      <alignment horizontal="left" vertical="center" wrapText="1"/>
    </xf>
    <xf numFmtId="166" fontId="29" fillId="0" borderId="12" xfId="0" applyNumberFormat="1" applyFont="1" applyFill="1" applyBorder="1" applyAlignment="1">
      <alignment horizontal="center" vertical="center" wrapText="1"/>
    </xf>
    <xf numFmtId="3" fontId="29" fillId="0" borderId="12" xfId="0" applyNumberFormat="1" applyFont="1" applyFill="1" applyBorder="1" applyAlignment="1">
      <alignment horizontal="left" vertical="center" wrapText="1"/>
    </xf>
    <xf numFmtId="3" fontId="26" fillId="0" borderId="12" xfId="0" applyNumberFormat="1" applyFont="1" applyBorder="1" applyAlignment="1">
      <alignment horizontal="center" vertical="center" wrapText="1"/>
    </xf>
    <xf numFmtId="3" fontId="26" fillId="49" borderId="12" xfId="0" applyNumberFormat="1" applyFont="1" applyFill="1" applyBorder="1" applyAlignment="1">
      <alignment horizontal="center" vertical="center" wrapText="1"/>
    </xf>
    <xf numFmtId="3" fontId="26" fillId="0" borderId="12" xfId="0" applyNumberFormat="1" applyFont="1" applyBorder="1" applyAlignment="1">
      <alignment horizontal="center" vertical="center" wrapText="1"/>
    </xf>
    <xf numFmtId="0" fontId="0" fillId="0" borderId="0" xfId="0" applyFill="1" applyBorder="1">
      <alignment vertical="top" wrapText="1"/>
    </xf>
    <xf numFmtId="164" fontId="34" fillId="41" borderId="14" xfId="0" applyNumberFormat="1" applyFont="1" applyFill="1" applyBorder="1" applyAlignment="1">
      <alignment horizontal="right" vertical="center" wrapText="1"/>
    </xf>
    <xf numFmtId="164" fontId="32" fillId="41" borderId="10" xfId="0" applyNumberFormat="1" applyFont="1" applyFill="1" applyBorder="1" applyAlignment="1">
      <alignment horizontal="left" vertical="center" wrapText="1"/>
    </xf>
    <xf numFmtId="164" fontId="34" fillId="41" borderId="13" xfId="0" applyNumberFormat="1" applyFont="1" applyFill="1" applyBorder="1" applyAlignment="1">
      <alignment horizontal="center" vertical="center"/>
    </xf>
    <xf numFmtId="164" fontId="34" fillId="41" borderId="20" xfId="0" applyNumberFormat="1" applyFont="1" applyFill="1" applyBorder="1" applyAlignment="1">
      <alignment horizontal="center" vertical="center"/>
    </xf>
    <xf numFmtId="4" fontId="35" fillId="41" borderId="15" xfId="0" applyNumberFormat="1" applyFont="1" applyFill="1" applyBorder="1" applyAlignment="1">
      <alignment horizontal="center" vertical="center"/>
    </xf>
    <xf numFmtId="9" fontId="26" fillId="0" borderId="0" xfId="42" applyFont="1" applyFill="1" applyBorder="1" applyAlignment="1">
      <alignment vertical="center" wrapText="1"/>
    </xf>
    <xf numFmtId="3" fontId="26" fillId="0" borderId="12" xfId="0" applyNumberFormat="1" applyFont="1" applyBorder="1" applyAlignment="1">
      <alignment horizontal="center" vertical="center" wrapText="1"/>
    </xf>
    <xf numFmtId="3" fontId="26" fillId="0" borderId="12" xfId="0" applyNumberFormat="1" applyFont="1" applyBorder="1" applyAlignment="1">
      <alignment horizontal="center" vertical="center" wrapText="1"/>
    </xf>
    <xf numFmtId="164" fontId="34" fillId="50" borderId="14" xfId="0" applyNumberFormat="1" applyFont="1" applyFill="1" applyBorder="1" applyAlignment="1">
      <alignment horizontal="right" vertical="center" wrapText="1"/>
    </xf>
    <xf numFmtId="164" fontId="32" fillId="50" borderId="10" xfId="0" applyNumberFormat="1" applyFont="1" applyFill="1" applyBorder="1" applyAlignment="1">
      <alignment horizontal="left" vertical="center" wrapText="1"/>
    </xf>
    <xf numFmtId="164" fontId="34" fillId="50" borderId="13" xfId="0" applyNumberFormat="1" applyFont="1" applyFill="1" applyBorder="1" applyAlignment="1">
      <alignment horizontal="center" vertical="center"/>
    </xf>
    <xf numFmtId="164" fontId="34" fillId="50" borderId="20" xfId="0" applyNumberFormat="1" applyFont="1" applyFill="1" applyBorder="1" applyAlignment="1">
      <alignment horizontal="center" vertical="center"/>
    </xf>
    <xf numFmtId="4" fontId="35" fillId="50" borderId="15" xfId="0" applyNumberFormat="1" applyFont="1" applyFill="1" applyBorder="1" applyAlignment="1">
      <alignment horizontal="center" vertical="center"/>
    </xf>
    <xf numFmtId="3" fontId="26" fillId="46" borderId="0" xfId="0" applyNumberFormat="1" applyFont="1" applyFill="1" applyAlignment="1">
      <alignment horizontal="center" vertical="center" wrapText="1"/>
    </xf>
    <xf numFmtId="0" fontId="40" fillId="0" borderId="12" xfId="0" applyFont="1" applyBorder="1" applyAlignment="1">
      <alignment horizontal="center" vertical="center" textRotation="90" wrapText="1"/>
    </xf>
    <xf numFmtId="3" fontId="26" fillId="0" borderId="12" xfId="0" applyNumberFormat="1" applyFont="1" applyBorder="1" applyAlignment="1">
      <alignment horizontal="center" vertical="center" wrapText="1"/>
    </xf>
    <xf numFmtId="3" fontId="26" fillId="0" borderId="19" xfId="0" applyNumberFormat="1" applyFont="1" applyBorder="1" applyAlignment="1">
      <alignment horizontal="center" vertical="center" textRotation="90" wrapText="1"/>
    </xf>
    <xf numFmtId="3" fontId="26" fillId="0" borderId="32" xfId="0" applyNumberFormat="1" applyFont="1" applyBorder="1" applyAlignment="1">
      <alignment horizontal="center" vertical="center" textRotation="90" wrapText="1"/>
    </xf>
    <xf numFmtId="3" fontId="26" fillId="0" borderId="11" xfId="0" applyNumberFormat="1" applyFont="1" applyBorder="1" applyAlignment="1">
      <alignment horizontal="center" vertical="center" textRotation="90" wrapText="1"/>
    </xf>
    <xf numFmtId="3" fontId="26" fillId="0" borderId="12" xfId="0" applyNumberFormat="1" applyFont="1" applyBorder="1" applyAlignment="1">
      <alignment horizontal="center" vertical="center" textRotation="90" wrapText="1"/>
    </xf>
    <xf numFmtId="3" fontId="26" fillId="41" borderId="0" xfId="0" applyNumberFormat="1" applyFont="1" applyFill="1" applyAlignment="1">
      <alignment horizontal="center" vertical="center" wrapText="1"/>
    </xf>
    <xf numFmtId="3" fontId="26" fillId="43" borderId="0" xfId="0" applyNumberFormat="1" applyFont="1" applyFill="1" applyAlignment="1">
      <alignment horizontal="center" vertical="center" wrapText="1"/>
    </xf>
    <xf numFmtId="3" fontId="31" fillId="0" borderId="12" xfId="0" applyNumberFormat="1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textRotation="90" wrapText="1"/>
    </xf>
    <xf numFmtId="0" fontId="31" fillId="0" borderId="12" xfId="0" applyFont="1" applyBorder="1" applyAlignment="1">
      <alignment horizontal="center" vertical="center" textRotation="90" wrapText="1"/>
    </xf>
    <xf numFmtId="166" fontId="26" fillId="0" borderId="27" xfId="0" applyNumberFormat="1" applyFont="1" applyBorder="1" applyAlignment="1">
      <alignment horizontal="center" vertical="center" wrapText="1"/>
    </xf>
    <xf numFmtId="166" fontId="26" fillId="0" borderId="28" xfId="0" applyNumberFormat="1" applyFont="1" applyBorder="1" applyAlignment="1">
      <alignment horizontal="center" vertical="center" wrapText="1"/>
    </xf>
    <xf numFmtId="3" fontId="39" fillId="0" borderId="24" xfId="0" applyNumberFormat="1" applyFont="1" applyBorder="1" applyAlignment="1">
      <alignment horizontal="center" vertical="center" wrapText="1"/>
    </xf>
    <xf numFmtId="3" fontId="39" fillId="0" borderId="25" xfId="0" applyNumberFormat="1" applyFont="1" applyBorder="1" applyAlignment="1">
      <alignment horizontal="center" vertical="center" wrapText="1"/>
    </xf>
    <xf numFmtId="3" fontId="39" fillId="0" borderId="18" xfId="0" applyNumberFormat="1" applyFont="1" applyBorder="1" applyAlignment="1">
      <alignment horizontal="center" vertical="center" wrapText="1"/>
    </xf>
    <xf numFmtId="3" fontId="26" fillId="0" borderId="19" xfId="0" applyNumberFormat="1" applyFont="1" applyBorder="1" applyAlignment="1">
      <alignment horizontal="center" vertical="center" wrapText="1"/>
    </xf>
    <xf numFmtId="3" fontId="26" fillId="0" borderId="11" xfId="0" applyNumberFormat="1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</cellXfs>
  <cellStyles count="64">
    <cellStyle name="20% - Énfasis1" xfId="19" builtinId="30" customBuiltin="1"/>
    <cellStyle name="20% - Énfasis1 2" xfId="44" xr:uid="{00000000-0005-0000-0000-000001000000}"/>
    <cellStyle name="20% - Énfasis2" xfId="23" builtinId="34" customBuiltin="1"/>
    <cellStyle name="20% - Énfasis2 2" xfId="46" xr:uid="{00000000-0005-0000-0000-000003000000}"/>
    <cellStyle name="20% - Énfasis3" xfId="27" builtinId="38" customBuiltin="1"/>
    <cellStyle name="20% - Énfasis3 2" xfId="48" xr:uid="{00000000-0005-0000-0000-000005000000}"/>
    <cellStyle name="20% - Énfasis4" xfId="31" builtinId="42" customBuiltin="1"/>
    <cellStyle name="20% - Énfasis4 2" xfId="50" xr:uid="{00000000-0005-0000-0000-000007000000}"/>
    <cellStyle name="20% - Énfasis5" xfId="35" builtinId="46" customBuiltin="1"/>
    <cellStyle name="20% - Énfasis5 2" xfId="52" xr:uid="{00000000-0005-0000-0000-000009000000}"/>
    <cellStyle name="20% - Énfasis6" xfId="39" builtinId="50" customBuiltin="1"/>
    <cellStyle name="20% - Énfasis6 2" xfId="54" xr:uid="{00000000-0005-0000-0000-00000B000000}"/>
    <cellStyle name="40% - Énfasis1" xfId="20" builtinId="31" customBuiltin="1"/>
    <cellStyle name="40% - Énfasis1 2" xfId="45" xr:uid="{00000000-0005-0000-0000-00000D000000}"/>
    <cellStyle name="40% - Énfasis2" xfId="24" builtinId="35" customBuiltin="1"/>
    <cellStyle name="40% - Énfasis2 2" xfId="47" xr:uid="{00000000-0005-0000-0000-00000F000000}"/>
    <cellStyle name="40% - Énfasis3" xfId="28" builtinId="39" customBuiltin="1"/>
    <cellStyle name="40% - Énfasis3 2" xfId="49" xr:uid="{00000000-0005-0000-0000-000011000000}"/>
    <cellStyle name="40% - Énfasis4" xfId="32" builtinId="43" customBuiltin="1"/>
    <cellStyle name="40% - Énfasis4 2" xfId="51" xr:uid="{00000000-0005-0000-0000-000013000000}"/>
    <cellStyle name="40% - Énfasis5" xfId="36" builtinId="47" customBuiltin="1"/>
    <cellStyle name="40% - Énfasis5 2" xfId="53" xr:uid="{00000000-0005-0000-0000-000015000000}"/>
    <cellStyle name="40% - Énfasis6" xfId="40" builtinId="51" customBuiltin="1"/>
    <cellStyle name="40% - Énfasis6 2" xfId="55" xr:uid="{00000000-0005-0000-0000-00001700000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56" xr:uid="{BFBD14AF-7C5E-4A8B-915D-9817701D1A10}"/>
    <cellStyle name="Normal 3" xfId="57" xr:uid="{CC169B4E-FD04-4557-A27D-C9B27544B0DE}"/>
    <cellStyle name="Normal 4" xfId="59" xr:uid="{74446384-8F7F-4FAD-A939-F24C0E512FFA}"/>
    <cellStyle name="Normal 5" xfId="60" xr:uid="{4FF49988-F0FC-4383-9FCC-831B18C47A8B}"/>
    <cellStyle name="Normal 6" xfId="61" xr:uid="{E5B1AB58-00E2-499B-ABB3-4395177F9158}"/>
    <cellStyle name="Normal 7" xfId="62" xr:uid="{359CC3A5-6432-4924-821F-2575E93A15AC}"/>
    <cellStyle name="Notas" xfId="15" builtinId="10" customBuiltin="1"/>
    <cellStyle name="Notas 2" xfId="43" xr:uid="{00000000-0005-0000-0000-00002E000000}"/>
    <cellStyle name="Porcentaje" xfId="42" builtinId="5"/>
    <cellStyle name="Porcentaje 2" xfId="58" xr:uid="{474F316A-F534-4EA9-8E6B-169BE30C623C}"/>
    <cellStyle name="Porcentaje 3" xfId="63" xr:uid="{4BC35D4D-51CD-436F-A5EF-84A849022915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FF99CC"/>
      <color rgb="FF99CCFF"/>
      <color rgb="FFCCFFCC"/>
      <color rgb="FFFFFF99"/>
      <color rgb="FF3BDAFF"/>
      <color rgb="FF66CCFF"/>
      <color rgb="FFCCFF99"/>
      <color rgb="FF66FFFF"/>
      <color rgb="FFCCFF33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izoffice470.sharepoint.com/117%20Cal%20y%20Mayor%20-%20Mexic/1532B117TU%20TC%20Santa%20Fe/0_Estudio%20previo%20alternativas/2015-11-05%20Estimacion%20coste%20alternativas_2000pphp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acterísticas básicas"/>
      <sheetName val="Presupuesto"/>
      <sheetName val="Costos O&amp;M"/>
    </sheetNames>
    <sheetDataSet>
      <sheetData sheetId="0">
        <row r="2">
          <cell r="D2" t="str">
            <v>LÍNEA ROJA</v>
          </cell>
        </row>
      </sheetData>
      <sheetData sheetId="1"/>
      <sheetData sheetId="2">
        <row r="32">
          <cell r="N3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A1:Q71"/>
  <sheetViews>
    <sheetView tabSelected="1" zoomScale="85" zoomScaleNormal="8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O28" sqref="O28"/>
    </sheetView>
  </sheetViews>
  <sheetFormatPr baseColWidth="10" defaultColWidth="11.42578125" defaultRowHeight="15" x14ac:dyDescent="0.25"/>
  <cols>
    <col min="1" max="1" width="4.7109375" style="4" customWidth="1"/>
    <col min="2" max="2" width="13.140625" style="4" customWidth="1"/>
    <col min="3" max="3" width="39.42578125" style="5" customWidth="1"/>
    <col min="4" max="4" width="13" style="6" customWidth="1"/>
    <col min="5" max="5" width="21.140625" style="11" customWidth="1"/>
    <col min="6" max="6" width="24.140625" style="4" customWidth="1"/>
    <col min="7" max="7" width="23.140625" style="4" customWidth="1"/>
    <col min="8" max="8" width="24.140625" style="4" customWidth="1"/>
    <col min="9" max="9" width="22.7109375" style="4" customWidth="1"/>
    <col min="10" max="10" width="22.85546875" style="4" customWidth="1"/>
    <col min="11" max="11" width="23.42578125" style="4" customWidth="1"/>
    <col min="12" max="13" width="24.7109375" style="4" customWidth="1"/>
    <col min="14" max="14" width="23" style="4" customWidth="1"/>
    <col min="15" max="15" width="17.7109375" style="4" customWidth="1"/>
    <col min="16" max="16" width="12.42578125" style="4" customWidth="1"/>
    <col min="18" max="16384" width="11.42578125" style="4"/>
  </cols>
  <sheetData>
    <row r="1" spans="1:17" ht="9.75" customHeight="1" x14ac:dyDescent="0.25">
      <c r="A1" s="149" t="s">
        <v>197</v>
      </c>
      <c r="B1" s="151">
        <v>0.252</v>
      </c>
      <c r="E1" s="84"/>
      <c r="Q1" s="4"/>
    </row>
    <row r="2" spans="1:17" ht="21.75" customHeight="1" x14ac:dyDescent="0.25">
      <c r="A2" s="150" t="s">
        <v>205</v>
      </c>
      <c r="B2" s="152">
        <v>4315.68</v>
      </c>
      <c r="E2" s="84"/>
      <c r="F2" s="204" t="s">
        <v>216</v>
      </c>
      <c r="G2" s="204"/>
      <c r="H2" s="204"/>
      <c r="I2" s="205" t="s">
        <v>219</v>
      </c>
      <c r="J2" s="205"/>
      <c r="K2" s="205"/>
      <c r="L2" s="197" t="s">
        <v>220</v>
      </c>
      <c r="M2" s="197"/>
      <c r="N2" s="197"/>
      <c r="Q2" s="4"/>
    </row>
    <row r="3" spans="1:17" ht="41.45" customHeight="1" x14ac:dyDescent="0.25">
      <c r="B3" s="91"/>
      <c r="C3" s="92"/>
      <c r="D3" s="85" t="s">
        <v>182</v>
      </c>
      <c r="E3" s="85" t="s">
        <v>206</v>
      </c>
      <c r="F3" s="156" t="s">
        <v>221</v>
      </c>
      <c r="G3" s="157" t="s">
        <v>245</v>
      </c>
      <c r="H3" s="158" t="s">
        <v>217</v>
      </c>
      <c r="I3" s="159" t="s">
        <v>218</v>
      </c>
      <c r="J3" s="160" t="s">
        <v>243</v>
      </c>
      <c r="K3" s="161" t="s">
        <v>244</v>
      </c>
      <c r="L3" s="162" t="s">
        <v>222</v>
      </c>
      <c r="M3" s="163" t="s">
        <v>242</v>
      </c>
      <c r="N3" s="164" t="s">
        <v>223</v>
      </c>
      <c r="Q3" s="4"/>
    </row>
    <row r="4" spans="1:17" x14ac:dyDescent="0.25">
      <c r="B4" s="198" t="s">
        <v>41</v>
      </c>
      <c r="C4" s="7" t="s">
        <v>214</v>
      </c>
      <c r="D4" s="8" t="s">
        <v>8</v>
      </c>
      <c r="E4" s="181">
        <f>1613.92+1234.36</f>
        <v>2848.2799999999997</v>
      </c>
      <c r="F4" s="181">
        <f>+SQRT(F5^2+F6^2)</f>
        <v>1646.8732677410244</v>
      </c>
      <c r="G4" s="181">
        <f t="shared" ref="G4:N4" si="0">+SQRT(G5^2+G6^2)</f>
        <v>1566.5071019628349</v>
      </c>
      <c r="H4" s="181">
        <f t="shared" si="0"/>
        <v>1710.9432886568743</v>
      </c>
      <c r="I4" s="181">
        <f t="shared" si="0"/>
        <v>1225.8360952835417</v>
      </c>
      <c r="J4" s="181">
        <f t="shared" si="0"/>
        <v>1104.2906083092439</v>
      </c>
      <c r="K4" s="181">
        <f t="shared" si="0"/>
        <v>1317.7514782765377</v>
      </c>
      <c r="L4" s="181">
        <f t="shared" si="0"/>
        <v>1794.2413661768028</v>
      </c>
      <c r="M4" s="181">
        <f t="shared" si="0"/>
        <v>2194.5471129369721</v>
      </c>
      <c r="N4" s="181">
        <f t="shared" si="0"/>
        <v>2345.0199044997466</v>
      </c>
      <c r="O4" s="88"/>
      <c r="Q4" s="4"/>
    </row>
    <row r="5" spans="1:17" x14ac:dyDescent="0.25">
      <c r="B5" s="198"/>
      <c r="C5" s="7" t="s">
        <v>213</v>
      </c>
      <c r="D5" s="182" t="s">
        <v>8</v>
      </c>
      <c r="E5" s="19"/>
      <c r="F5" s="19">
        <v>1642</v>
      </c>
      <c r="G5" s="19">
        <v>1561.82</v>
      </c>
      <c r="H5" s="19">
        <v>1706.53</v>
      </c>
      <c r="I5" s="19">
        <v>1217.79</v>
      </c>
      <c r="J5" s="19">
        <v>1096.24</v>
      </c>
      <c r="K5" s="19">
        <v>1309.1600000000001</v>
      </c>
      <c r="L5" s="19">
        <v>1786.49</v>
      </c>
      <c r="M5" s="19">
        <v>2184.2199999999998</v>
      </c>
      <c r="N5" s="19">
        <v>2335.46</v>
      </c>
      <c r="O5" s="88"/>
      <c r="Q5" s="4"/>
    </row>
    <row r="6" spans="1:17" x14ac:dyDescent="0.25">
      <c r="B6" s="198"/>
      <c r="C6" s="7" t="s">
        <v>78</v>
      </c>
      <c r="D6" s="182" t="s">
        <v>8</v>
      </c>
      <c r="E6" s="18">
        <f>128+131.5</f>
        <v>259.5</v>
      </c>
      <c r="F6" s="18">
        <v>126.6</v>
      </c>
      <c r="G6" s="18">
        <v>121.09</v>
      </c>
      <c r="H6" s="18">
        <v>122.81</v>
      </c>
      <c r="I6" s="18">
        <v>140.22</v>
      </c>
      <c r="J6" s="18">
        <v>133.1</v>
      </c>
      <c r="K6" s="18">
        <v>150.22999999999999</v>
      </c>
      <c r="L6" s="18">
        <v>166.6</v>
      </c>
      <c r="M6" s="18">
        <v>212.65</v>
      </c>
      <c r="N6" s="18">
        <v>211.53</v>
      </c>
      <c r="O6" s="88"/>
      <c r="Q6" s="4"/>
    </row>
    <row r="7" spans="1:17" x14ac:dyDescent="0.25">
      <c r="B7" s="198"/>
      <c r="C7" s="7" t="s">
        <v>109</v>
      </c>
      <c r="D7" s="8" t="s">
        <v>119</v>
      </c>
      <c r="E7" s="18">
        <v>2</v>
      </c>
      <c r="F7" s="18">
        <v>1</v>
      </c>
      <c r="G7" s="18">
        <v>1</v>
      </c>
      <c r="H7" s="18">
        <v>1</v>
      </c>
      <c r="I7" s="18">
        <v>1</v>
      </c>
      <c r="J7" s="18">
        <v>1</v>
      </c>
      <c r="K7" s="18">
        <v>1</v>
      </c>
      <c r="L7" s="18">
        <v>1</v>
      </c>
      <c r="M7" s="18">
        <v>1</v>
      </c>
      <c r="N7" s="18">
        <v>1</v>
      </c>
      <c r="O7" s="88"/>
      <c r="Q7" s="4"/>
    </row>
    <row r="8" spans="1:17" x14ac:dyDescent="0.25">
      <c r="B8" s="198"/>
      <c r="C8" s="7" t="s">
        <v>42</v>
      </c>
      <c r="D8" s="8" t="s">
        <v>119</v>
      </c>
      <c r="E8" s="18">
        <v>3</v>
      </c>
      <c r="F8" s="18">
        <v>2</v>
      </c>
      <c r="G8" s="18">
        <v>2</v>
      </c>
      <c r="H8" s="18">
        <v>2</v>
      </c>
      <c r="I8" s="18">
        <v>2</v>
      </c>
      <c r="J8" s="18">
        <v>2</v>
      </c>
      <c r="K8" s="18">
        <v>2</v>
      </c>
      <c r="L8" s="18">
        <v>2</v>
      </c>
      <c r="M8" s="18">
        <v>2</v>
      </c>
      <c r="N8" s="18">
        <v>2</v>
      </c>
      <c r="O8" s="88"/>
      <c r="Q8" s="4"/>
    </row>
    <row r="9" spans="1:17" ht="30" hidden="1" x14ac:dyDescent="0.25">
      <c r="B9" s="198"/>
      <c r="C9" s="7" t="s">
        <v>135</v>
      </c>
      <c r="D9" s="8" t="s">
        <v>119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88"/>
      <c r="Q9" s="4"/>
    </row>
    <row r="10" spans="1:17" ht="30" hidden="1" x14ac:dyDescent="0.25">
      <c r="B10" s="198"/>
      <c r="C10" s="7" t="s">
        <v>136</v>
      </c>
      <c r="D10" s="59" t="s">
        <v>119</v>
      </c>
      <c r="E10" s="18">
        <v>0</v>
      </c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88"/>
      <c r="Q10" s="4"/>
    </row>
    <row r="11" spans="1:17" ht="30" hidden="1" x14ac:dyDescent="0.25">
      <c r="B11" s="198"/>
      <c r="C11" s="7" t="s">
        <v>137</v>
      </c>
      <c r="D11" s="59" t="s">
        <v>119</v>
      </c>
      <c r="E11" s="41">
        <f t="shared" ref="E11:N11" si="1">+E9-E10</f>
        <v>0</v>
      </c>
      <c r="F11" s="41">
        <f t="shared" si="1"/>
        <v>0</v>
      </c>
      <c r="G11" s="41">
        <f t="shared" si="1"/>
        <v>0</v>
      </c>
      <c r="H11" s="41">
        <f t="shared" si="1"/>
        <v>0</v>
      </c>
      <c r="I11" s="41">
        <f t="shared" si="1"/>
        <v>0</v>
      </c>
      <c r="J11" s="41">
        <f t="shared" si="1"/>
        <v>0</v>
      </c>
      <c r="K11" s="41">
        <f t="shared" si="1"/>
        <v>0</v>
      </c>
      <c r="L11" s="41">
        <f t="shared" si="1"/>
        <v>0</v>
      </c>
      <c r="M11" s="41">
        <f t="shared" si="1"/>
        <v>0</v>
      </c>
      <c r="N11" s="41">
        <f t="shared" si="1"/>
        <v>0</v>
      </c>
      <c r="O11" s="88"/>
      <c r="Q11" s="4"/>
    </row>
    <row r="12" spans="1:17" ht="30" hidden="1" x14ac:dyDescent="0.25">
      <c r="B12" s="198"/>
      <c r="C12" s="2" t="s">
        <v>166</v>
      </c>
      <c r="D12" s="8" t="s">
        <v>119</v>
      </c>
      <c r="E12" s="41">
        <f>+'Caract básicas'!E8+'Caract básicas'!E9-'Caract básicas'!E7-1</f>
        <v>0</v>
      </c>
      <c r="F12" s="41">
        <f>+'Caract básicas'!F8+'Caract básicas'!F9-'Caract básicas'!F7-1</f>
        <v>0</v>
      </c>
      <c r="G12" s="41">
        <f>+'Caract básicas'!G8+'Caract básicas'!G9-'Caract básicas'!G7-1</f>
        <v>0</v>
      </c>
      <c r="H12" s="41">
        <f>+'Caract básicas'!H8+'Caract básicas'!H9-'Caract básicas'!H7-1</f>
        <v>0</v>
      </c>
      <c r="I12" s="41">
        <f>+'Caract básicas'!I8+'Caract básicas'!I9-'Caract básicas'!I7-1</f>
        <v>0</v>
      </c>
      <c r="J12" s="41">
        <f>+'Caract básicas'!J8+'Caract básicas'!J9-'Caract básicas'!J7-1</f>
        <v>0</v>
      </c>
      <c r="K12" s="41">
        <f>+'Caract básicas'!K8+'Caract básicas'!K9-'Caract básicas'!K7-1</f>
        <v>0</v>
      </c>
      <c r="L12" s="41">
        <f>+'Caract básicas'!L8+'Caract básicas'!L9-'Caract básicas'!L7-1</f>
        <v>0</v>
      </c>
      <c r="M12" s="41">
        <f>+'Caract básicas'!M8+'Caract básicas'!M9-'Caract básicas'!M7-1</f>
        <v>0</v>
      </c>
      <c r="N12" s="41">
        <f>+'Caract básicas'!N8+'Caract básicas'!N9-'Caract básicas'!N7-1</f>
        <v>0</v>
      </c>
      <c r="O12" s="88"/>
      <c r="Q12" s="4"/>
    </row>
    <row r="13" spans="1:17" hidden="1" x14ac:dyDescent="0.25">
      <c r="B13" s="198"/>
      <c r="C13" s="7" t="s">
        <v>110</v>
      </c>
      <c r="D13" s="49" t="s">
        <v>8</v>
      </c>
      <c r="E13" s="19">
        <v>1613</v>
      </c>
      <c r="F13" s="19">
        <f>+F4</f>
        <v>1646.8732677410244</v>
      </c>
      <c r="G13" s="19">
        <f t="shared" ref="G13:N13" si="2">+G4</f>
        <v>1566.5071019628349</v>
      </c>
      <c r="H13" s="19">
        <f t="shared" si="2"/>
        <v>1710.9432886568743</v>
      </c>
      <c r="I13" s="19">
        <f t="shared" si="2"/>
        <v>1225.8360952835417</v>
      </c>
      <c r="J13" s="19">
        <f t="shared" si="2"/>
        <v>1104.2906083092439</v>
      </c>
      <c r="K13" s="19">
        <f t="shared" si="2"/>
        <v>1317.7514782765377</v>
      </c>
      <c r="L13" s="19">
        <f t="shared" si="2"/>
        <v>1794.2413661768028</v>
      </c>
      <c r="M13" s="19">
        <f t="shared" si="2"/>
        <v>2194.5471129369721</v>
      </c>
      <c r="N13" s="19">
        <f t="shared" si="2"/>
        <v>2345.0199044997466</v>
      </c>
      <c r="O13" s="89"/>
      <c r="Q13" s="4"/>
    </row>
    <row r="14" spans="1:17" x14ac:dyDescent="0.25">
      <c r="B14" s="198"/>
      <c r="C14" s="7" t="s">
        <v>111</v>
      </c>
      <c r="D14" s="8" t="s">
        <v>120</v>
      </c>
      <c r="E14" s="19">
        <v>3600</v>
      </c>
      <c r="F14" s="19">
        <v>4000</v>
      </c>
      <c r="G14" s="19">
        <v>4000</v>
      </c>
      <c r="H14" s="19">
        <v>4000</v>
      </c>
      <c r="I14" s="19">
        <v>2500</v>
      </c>
      <c r="J14" s="19">
        <v>2500</v>
      </c>
      <c r="K14" s="19">
        <v>2500</v>
      </c>
      <c r="L14" s="19">
        <v>2000</v>
      </c>
      <c r="M14" s="19">
        <v>2000</v>
      </c>
      <c r="N14" s="19">
        <v>2000</v>
      </c>
      <c r="O14" s="88"/>
      <c r="Q14" s="4"/>
    </row>
    <row r="15" spans="1:17" s="9" customFormat="1" x14ac:dyDescent="0.25">
      <c r="B15" s="198"/>
      <c r="C15" s="7" t="s">
        <v>112</v>
      </c>
      <c r="D15" s="8" t="s">
        <v>105</v>
      </c>
      <c r="E15" s="18">
        <v>5.5</v>
      </c>
      <c r="F15" s="18">
        <v>6</v>
      </c>
      <c r="G15" s="18">
        <v>6</v>
      </c>
      <c r="H15" s="18">
        <v>6</v>
      </c>
      <c r="I15" s="18">
        <v>6</v>
      </c>
      <c r="J15" s="18">
        <v>6</v>
      </c>
      <c r="K15" s="18">
        <v>6</v>
      </c>
      <c r="L15" s="18">
        <v>6</v>
      </c>
      <c r="M15" s="18">
        <v>6</v>
      </c>
      <c r="N15" s="18">
        <v>6</v>
      </c>
      <c r="O15" s="90"/>
    </row>
    <row r="16" spans="1:17" x14ac:dyDescent="0.25">
      <c r="B16" s="198"/>
      <c r="C16" s="7" t="s">
        <v>113</v>
      </c>
      <c r="D16" s="190" t="s">
        <v>107</v>
      </c>
      <c r="E16" s="63">
        <f t="shared" ref="E16:N16" si="3">+E4/E15</f>
        <v>517.86909090909091</v>
      </c>
      <c r="F16" s="63">
        <f t="shared" si="3"/>
        <v>274.47887795683738</v>
      </c>
      <c r="G16" s="63">
        <f t="shared" si="3"/>
        <v>261.08451699380583</v>
      </c>
      <c r="H16" s="63">
        <f t="shared" si="3"/>
        <v>285.15721477614574</v>
      </c>
      <c r="I16" s="63">
        <f t="shared" si="3"/>
        <v>204.30601588059028</v>
      </c>
      <c r="J16" s="63">
        <f t="shared" si="3"/>
        <v>184.04843471820732</v>
      </c>
      <c r="K16" s="63">
        <f t="shared" si="3"/>
        <v>219.62524637942295</v>
      </c>
      <c r="L16" s="63">
        <f t="shared" si="3"/>
        <v>299.0402276961338</v>
      </c>
      <c r="M16" s="63">
        <f t="shared" si="3"/>
        <v>365.75785215616202</v>
      </c>
      <c r="N16" s="63">
        <f t="shared" si="3"/>
        <v>390.83665074995776</v>
      </c>
      <c r="O16" s="88"/>
      <c r="Q16" s="4"/>
    </row>
    <row r="17" spans="2:17" x14ac:dyDescent="0.25">
      <c r="B17" s="198"/>
      <c r="C17" s="7" t="s">
        <v>114</v>
      </c>
      <c r="D17" s="190" t="s">
        <v>107</v>
      </c>
      <c r="E17" s="63">
        <f>(E8+E9-2)*60+60</f>
        <v>120</v>
      </c>
      <c r="F17" s="63">
        <v>90</v>
      </c>
      <c r="G17" s="63">
        <v>90</v>
      </c>
      <c r="H17" s="63">
        <v>90</v>
      </c>
      <c r="I17" s="63">
        <v>70</v>
      </c>
      <c r="J17" s="63">
        <v>70</v>
      </c>
      <c r="K17" s="63">
        <v>70</v>
      </c>
      <c r="L17" s="63">
        <v>70</v>
      </c>
      <c r="M17" s="63">
        <v>70</v>
      </c>
      <c r="N17" s="63">
        <v>70</v>
      </c>
      <c r="O17" s="88"/>
      <c r="Q17" s="4"/>
    </row>
    <row r="18" spans="2:17" x14ac:dyDescent="0.25">
      <c r="B18" s="198"/>
      <c r="C18" s="7" t="s">
        <v>115</v>
      </c>
      <c r="D18" s="190" t="s">
        <v>107</v>
      </c>
      <c r="E18" s="63">
        <f t="shared" ref="E18" si="4">+E17+E16</f>
        <v>637.86909090909091</v>
      </c>
      <c r="F18" s="63">
        <f t="shared" ref="F18" si="5">+F17+F16</f>
        <v>364.47887795683738</v>
      </c>
      <c r="G18" s="63">
        <f t="shared" ref="G18" si="6">+G17+G16</f>
        <v>351.08451699380583</v>
      </c>
      <c r="H18" s="63">
        <f t="shared" ref="H18" si="7">+H17+H16</f>
        <v>375.15721477614574</v>
      </c>
      <c r="I18" s="63">
        <f t="shared" ref="I18" si="8">+I17+I16</f>
        <v>274.30601588059028</v>
      </c>
      <c r="J18" s="63">
        <f t="shared" ref="J18" si="9">+J17+J16</f>
        <v>254.04843471820732</v>
      </c>
      <c r="K18" s="63">
        <f t="shared" ref="K18" si="10">+K17+K16</f>
        <v>289.62524637942295</v>
      </c>
      <c r="L18" s="63">
        <f t="shared" ref="L18" si="11">+L17+L16</f>
        <v>369.0402276961338</v>
      </c>
      <c r="M18" s="63">
        <f t="shared" ref="M18" si="12">+M17+M16</f>
        <v>435.75785215616202</v>
      </c>
      <c r="N18" s="63">
        <f t="shared" ref="N18" si="13">+N17+N16</f>
        <v>460.83665074995776</v>
      </c>
      <c r="O18" s="88"/>
      <c r="Q18" s="4"/>
    </row>
    <row r="19" spans="2:17" x14ac:dyDescent="0.25">
      <c r="B19" s="198"/>
      <c r="C19" s="7" t="s">
        <v>116</v>
      </c>
      <c r="D19" s="8"/>
      <c r="E19" s="63" t="str">
        <f t="shared" ref="E19:N19" si="14">ROUNDDOWN((E4/E15+(E8-1)*50)/60,0)&amp;" min "&amp;ROUND((E4/E15+(E8-1)*50)-60*ROUNDDOWN((E4/E15+(E8-1)*50)/60,0),0)&amp;" s"</f>
        <v>10 min 18 s</v>
      </c>
      <c r="F19" s="63" t="str">
        <f t="shared" si="14"/>
        <v>5 min 24 s</v>
      </c>
      <c r="G19" s="63" t="str">
        <f t="shared" si="14"/>
        <v>5 min 11 s</v>
      </c>
      <c r="H19" s="63" t="str">
        <f t="shared" si="14"/>
        <v>5 min 35 s</v>
      </c>
      <c r="I19" s="63" t="str">
        <f t="shared" si="14"/>
        <v>4 min 14 s</v>
      </c>
      <c r="J19" s="63" t="str">
        <f t="shared" si="14"/>
        <v>3 min 54 s</v>
      </c>
      <c r="K19" s="63" t="str">
        <f t="shared" si="14"/>
        <v>4 min 30 s</v>
      </c>
      <c r="L19" s="63" t="str">
        <f t="shared" si="14"/>
        <v>5 min 49 s</v>
      </c>
      <c r="M19" s="63" t="str">
        <f t="shared" si="14"/>
        <v>6 min 56 s</v>
      </c>
      <c r="N19" s="63" t="str">
        <f t="shared" si="14"/>
        <v>7 min 21 s</v>
      </c>
      <c r="O19" s="88"/>
      <c r="Q19" s="4"/>
    </row>
    <row r="20" spans="2:17" x14ac:dyDescent="0.25">
      <c r="B20" s="198"/>
      <c r="C20" s="7" t="s">
        <v>117</v>
      </c>
      <c r="D20" s="8" t="s">
        <v>121</v>
      </c>
      <c r="E20" s="18">
        <v>10</v>
      </c>
      <c r="F20" s="18">
        <v>10</v>
      </c>
      <c r="G20" s="18">
        <v>10</v>
      </c>
      <c r="H20" s="18">
        <v>10</v>
      </c>
      <c r="I20" s="18">
        <v>10</v>
      </c>
      <c r="J20" s="18">
        <v>10</v>
      </c>
      <c r="K20" s="18">
        <v>10</v>
      </c>
      <c r="L20" s="18">
        <v>10</v>
      </c>
      <c r="M20" s="18">
        <v>10</v>
      </c>
      <c r="N20" s="18">
        <v>10</v>
      </c>
      <c r="O20" s="88"/>
      <c r="Q20" s="4"/>
    </row>
    <row r="21" spans="2:17" x14ac:dyDescent="0.25">
      <c r="B21" s="198"/>
      <c r="C21" s="2" t="s">
        <v>48</v>
      </c>
      <c r="D21" s="8" t="s">
        <v>107</v>
      </c>
      <c r="E21" s="17">
        <f t="shared" ref="E21" si="15">1/(E14/3600/E20)</f>
        <v>10</v>
      </c>
      <c r="F21" s="17">
        <f t="shared" ref="F21" si="16">1/(F14/3600/F20)</f>
        <v>9</v>
      </c>
      <c r="G21" s="17">
        <f t="shared" ref="G21" si="17">1/(G14/3600/G20)</f>
        <v>9</v>
      </c>
      <c r="H21" s="17">
        <f t="shared" ref="H21" si="18">1/(H14/3600/H20)</f>
        <v>9</v>
      </c>
      <c r="I21" s="17">
        <f t="shared" ref="I21" si="19">1/(I14/3600/I20)</f>
        <v>14.399999999999999</v>
      </c>
      <c r="J21" s="17">
        <f t="shared" ref="J21" si="20">1/(J14/3600/J20)</f>
        <v>14.399999999999999</v>
      </c>
      <c r="K21" s="17">
        <f t="shared" ref="K21" si="21">1/(K14/3600/K20)</f>
        <v>14.399999999999999</v>
      </c>
      <c r="L21" s="17">
        <f t="shared" ref="L21" si="22">1/(L14/3600/L20)</f>
        <v>18</v>
      </c>
      <c r="M21" s="17">
        <f t="shared" ref="M21" si="23">1/(M14/3600/M20)</f>
        <v>18</v>
      </c>
      <c r="N21" s="17">
        <f t="shared" ref="N21" si="24">1/(N14/3600/N20)</f>
        <v>18</v>
      </c>
      <c r="O21" s="88"/>
      <c r="Q21" s="4"/>
    </row>
    <row r="22" spans="2:17" x14ac:dyDescent="0.25">
      <c r="B22" s="198"/>
      <c r="C22" s="2" t="s">
        <v>49</v>
      </c>
      <c r="D22" s="8" t="s">
        <v>8</v>
      </c>
      <c r="E22" s="17">
        <f t="shared" ref="E22:N22" si="25">+E21*E15</f>
        <v>55</v>
      </c>
      <c r="F22" s="17">
        <f t="shared" si="25"/>
        <v>54</v>
      </c>
      <c r="G22" s="17">
        <f t="shared" si="25"/>
        <v>54</v>
      </c>
      <c r="H22" s="17">
        <f t="shared" si="25"/>
        <v>54</v>
      </c>
      <c r="I22" s="17">
        <f t="shared" si="25"/>
        <v>86.399999999999991</v>
      </c>
      <c r="J22" s="17">
        <f t="shared" si="25"/>
        <v>86.399999999999991</v>
      </c>
      <c r="K22" s="17">
        <f t="shared" si="25"/>
        <v>86.399999999999991</v>
      </c>
      <c r="L22" s="17">
        <f t="shared" si="25"/>
        <v>108</v>
      </c>
      <c r="M22" s="17">
        <f t="shared" si="25"/>
        <v>108</v>
      </c>
      <c r="N22" s="17">
        <f t="shared" si="25"/>
        <v>108</v>
      </c>
      <c r="O22" s="88"/>
      <c r="Q22" s="4"/>
    </row>
    <row r="23" spans="2:17" x14ac:dyDescent="0.25">
      <c r="B23" s="198"/>
      <c r="C23" s="7" t="s">
        <v>118</v>
      </c>
      <c r="D23" s="8" t="s">
        <v>119</v>
      </c>
      <c r="E23" s="63">
        <f t="shared" ref="E23:N23" si="26">+ROUND(2*E18/E21,0)</f>
        <v>128</v>
      </c>
      <c r="F23" s="63">
        <f t="shared" si="26"/>
        <v>81</v>
      </c>
      <c r="G23" s="63">
        <f t="shared" si="26"/>
        <v>78</v>
      </c>
      <c r="H23" s="63">
        <f t="shared" si="26"/>
        <v>83</v>
      </c>
      <c r="I23" s="63">
        <f t="shared" si="26"/>
        <v>38</v>
      </c>
      <c r="J23" s="63">
        <f t="shared" si="26"/>
        <v>35</v>
      </c>
      <c r="K23" s="63">
        <f t="shared" si="26"/>
        <v>40</v>
      </c>
      <c r="L23" s="63">
        <f t="shared" si="26"/>
        <v>41</v>
      </c>
      <c r="M23" s="63">
        <f t="shared" si="26"/>
        <v>48</v>
      </c>
      <c r="N23" s="63">
        <f t="shared" si="26"/>
        <v>51</v>
      </c>
      <c r="O23" s="88"/>
      <c r="Q23" s="4"/>
    </row>
    <row r="24" spans="2:17" ht="15" customHeight="1" x14ac:dyDescent="0.25">
      <c r="B24" s="198"/>
      <c r="C24" s="7" t="s">
        <v>34</v>
      </c>
      <c r="D24" s="182" t="s">
        <v>119</v>
      </c>
      <c r="E24" s="63">
        <f>11+10</f>
        <v>21</v>
      </c>
      <c r="F24" s="63">
        <v>13</v>
      </c>
      <c r="G24" s="63">
        <v>11</v>
      </c>
      <c r="H24" s="63">
        <v>12</v>
      </c>
      <c r="I24" s="63">
        <v>10</v>
      </c>
      <c r="J24" s="63">
        <v>9</v>
      </c>
      <c r="K24" s="63">
        <v>11</v>
      </c>
      <c r="L24" s="63">
        <v>17</v>
      </c>
      <c r="M24" s="63">
        <v>15</v>
      </c>
      <c r="N24" s="63">
        <v>13</v>
      </c>
      <c r="O24" s="88"/>
      <c r="Q24" s="4"/>
    </row>
    <row r="25" spans="2:17" hidden="1" x14ac:dyDescent="0.25">
      <c r="B25" s="198"/>
      <c r="C25" s="7" t="s">
        <v>35</v>
      </c>
      <c r="D25" s="8" t="s">
        <v>119</v>
      </c>
      <c r="E25" s="63">
        <f>8+6</f>
        <v>14</v>
      </c>
      <c r="F25" s="63">
        <f>+ROUND(F24*0.4,0)+2</f>
        <v>7</v>
      </c>
      <c r="G25" s="63">
        <f t="shared" ref="G25:N25" si="27">+ROUND(G24*0.4,0)+2</f>
        <v>6</v>
      </c>
      <c r="H25" s="63">
        <f t="shared" si="27"/>
        <v>7</v>
      </c>
      <c r="I25" s="63">
        <f t="shared" si="27"/>
        <v>6</v>
      </c>
      <c r="J25" s="63">
        <f t="shared" si="27"/>
        <v>6</v>
      </c>
      <c r="K25" s="63">
        <f t="shared" si="27"/>
        <v>6</v>
      </c>
      <c r="L25" s="63">
        <f t="shared" si="27"/>
        <v>9</v>
      </c>
      <c r="M25" s="63">
        <f t="shared" si="27"/>
        <v>8</v>
      </c>
      <c r="N25" s="63">
        <f t="shared" si="27"/>
        <v>7</v>
      </c>
      <c r="O25" s="88"/>
      <c r="Q25" s="4"/>
    </row>
    <row r="26" spans="2:17" hidden="1" x14ac:dyDescent="0.25">
      <c r="B26" s="198"/>
      <c r="C26" s="7" t="s">
        <v>36</v>
      </c>
      <c r="D26" s="8" t="s">
        <v>119</v>
      </c>
      <c r="E26" s="63">
        <f>3+4</f>
        <v>7</v>
      </c>
      <c r="F26" s="63">
        <f t="shared" ref="F26:N26" si="28">+F24-F25</f>
        <v>6</v>
      </c>
      <c r="G26" s="63">
        <f t="shared" si="28"/>
        <v>5</v>
      </c>
      <c r="H26" s="63">
        <f t="shared" si="28"/>
        <v>5</v>
      </c>
      <c r="I26" s="63">
        <f t="shared" si="28"/>
        <v>4</v>
      </c>
      <c r="J26" s="63">
        <f t="shared" si="28"/>
        <v>3</v>
      </c>
      <c r="K26" s="63">
        <f t="shared" si="28"/>
        <v>5</v>
      </c>
      <c r="L26" s="63">
        <f t="shared" si="28"/>
        <v>8</v>
      </c>
      <c r="M26" s="63">
        <f t="shared" si="28"/>
        <v>7</v>
      </c>
      <c r="N26" s="63">
        <f t="shared" si="28"/>
        <v>6</v>
      </c>
      <c r="O26" s="88"/>
      <c r="Q26" s="4"/>
    </row>
    <row r="27" spans="2:17" x14ac:dyDescent="0.25">
      <c r="B27" s="198"/>
      <c r="C27" s="2" t="s">
        <v>50</v>
      </c>
      <c r="D27" s="8" t="s">
        <v>122</v>
      </c>
      <c r="E27" s="18">
        <v>20</v>
      </c>
      <c r="F27" s="18">
        <v>20</v>
      </c>
      <c r="G27" s="18">
        <v>20</v>
      </c>
      <c r="H27" s="18">
        <v>20</v>
      </c>
      <c r="I27" s="18">
        <v>20</v>
      </c>
      <c r="J27" s="18">
        <v>20</v>
      </c>
      <c r="K27" s="18">
        <v>20</v>
      </c>
      <c r="L27" s="18">
        <v>20</v>
      </c>
      <c r="M27" s="18">
        <v>20</v>
      </c>
      <c r="N27" s="18">
        <v>20</v>
      </c>
      <c r="O27" s="89"/>
      <c r="Q27" s="4"/>
    </row>
    <row r="28" spans="2:17" x14ac:dyDescent="0.25">
      <c r="B28" s="198"/>
      <c r="C28" s="2" t="s">
        <v>51</v>
      </c>
      <c r="D28" s="8" t="s">
        <v>119</v>
      </c>
      <c r="E28" s="18">
        <v>3</v>
      </c>
      <c r="F28" s="18">
        <v>3</v>
      </c>
      <c r="G28" s="18">
        <v>3</v>
      </c>
      <c r="H28" s="18">
        <v>3</v>
      </c>
      <c r="I28" s="18">
        <v>3</v>
      </c>
      <c r="J28" s="18">
        <v>3</v>
      </c>
      <c r="K28" s="18">
        <v>3</v>
      </c>
      <c r="L28" s="18">
        <v>3</v>
      </c>
      <c r="M28" s="18">
        <v>3</v>
      </c>
      <c r="N28" s="18">
        <v>3</v>
      </c>
      <c r="O28" s="88"/>
      <c r="Q28" s="4"/>
    </row>
    <row r="29" spans="2:17" s="166" customFormat="1" x14ac:dyDescent="0.25">
      <c r="B29" s="198"/>
      <c r="C29" s="2" t="s">
        <v>52</v>
      </c>
      <c r="D29" s="180" t="s">
        <v>80</v>
      </c>
      <c r="E29" s="18">
        <v>350</v>
      </c>
      <c r="F29" s="18">
        <v>350</v>
      </c>
      <c r="G29" s="18">
        <v>350</v>
      </c>
      <c r="H29" s="18">
        <v>350</v>
      </c>
      <c r="I29" s="18">
        <v>350</v>
      </c>
      <c r="J29" s="18">
        <v>350</v>
      </c>
      <c r="K29" s="18">
        <v>350</v>
      </c>
      <c r="L29" s="18">
        <v>350</v>
      </c>
      <c r="M29" s="18">
        <v>350</v>
      </c>
      <c r="N29" s="18">
        <v>350</v>
      </c>
      <c r="O29" s="165"/>
    </row>
    <row r="30" spans="2:17" x14ac:dyDescent="0.25">
      <c r="B30" s="198"/>
      <c r="C30" s="2" t="s">
        <v>53</v>
      </c>
      <c r="D30" s="8" t="s">
        <v>122</v>
      </c>
      <c r="E30" s="3">
        <f t="shared" ref="E30:N30" si="29">+E29*E27</f>
        <v>7000</v>
      </c>
      <c r="F30" s="140">
        <f t="shared" si="29"/>
        <v>7000</v>
      </c>
      <c r="G30" s="140">
        <f t="shared" si="29"/>
        <v>7000</v>
      </c>
      <c r="H30" s="140">
        <f t="shared" si="29"/>
        <v>7000</v>
      </c>
      <c r="I30" s="140">
        <f t="shared" si="29"/>
        <v>7000</v>
      </c>
      <c r="J30" s="140">
        <f t="shared" si="29"/>
        <v>7000</v>
      </c>
      <c r="K30" s="140">
        <f t="shared" si="29"/>
        <v>7000</v>
      </c>
      <c r="L30" s="140">
        <f t="shared" si="29"/>
        <v>7000</v>
      </c>
      <c r="M30" s="140">
        <f t="shared" si="29"/>
        <v>7000</v>
      </c>
      <c r="N30" s="140">
        <f t="shared" si="29"/>
        <v>7000</v>
      </c>
      <c r="O30" s="88"/>
      <c r="Q30" s="4"/>
    </row>
    <row r="31" spans="2:17" x14ac:dyDescent="0.25">
      <c r="B31" s="198"/>
      <c r="C31" s="2" t="s">
        <v>126</v>
      </c>
      <c r="D31" s="8" t="s">
        <v>106</v>
      </c>
      <c r="E31" s="18">
        <v>52</v>
      </c>
      <c r="F31" s="18">
        <v>52</v>
      </c>
      <c r="G31" s="18">
        <v>52</v>
      </c>
      <c r="H31" s="18">
        <v>52</v>
      </c>
      <c r="I31" s="18">
        <v>52</v>
      </c>
      <c r="J31" s="18">
        <v>52</v>
      </c>
      <c r="K31" s="18">
        <v>52</v>
      </c>
      <c r="L31" s="18">
        <v>52</v>
      </c>
      <c r="M31" s="18">
        <v>52</v>
      </c>
      <c r="N31" s="18">
        <v>52</v>
      </c>
      <c r="O31" s="88"/>
      <c r="Q31" s="4"/>
    </row>
    <row r="32" spans="2:17" x14ac:dyDescent="0.25">
      <c r="B32" s="198"/>
      <c r="C32" s="2" t="s">
        <v>101</v>
      </c>
      <c r="D32" s="8" t="s">
        <v>108</v>
      </c>
      <c r="E32" s="133"/>
      <c r="F32" s="133">
        <f>+OPEX!E32</f>
        <v>400</v>
      </c>
      <c r="G32" s="133">
        <f>+OPEX!I32</f>
        <v>350</v>
      </c>
      <c r="H32" s="133">
        <f>+OPEX!M32</f>
        <v>400</v>
      </c>
      <c r="I32" s="133">
        <f>+OPEX!Q32</f>
        <v>250</v>
      </c>
      <c r="J32" s="133">
        <f>+OPEX!U32</f>
        <v>200</v>
      </c>
      <c r="K32" s="133">
        <f>+OPEX!Y32</f>
        <v>250</v>
      </c>
      <c r="L32" s="133">
        <f>+OPEX!AC32</f>
        <v>250</v>
      </c>
      <c r="M32" s="133">
        <f>+OPEX!AG32</f>
        <v>300</v>
      </c>
      <c r="N32" s="133">
        <f>+OPEX!AK32</f>
        <v>350</v>
      </c>
      <c r="O32" s="88"/>
      <c r="Q32" s="4"/>
    </row>
    <row r="33" spans="2:17" x14ac:dyDescent="0.25">
      <c r="B33" s="198"/>
      <c r="C33" s="2" t="s">
        <v>125</v>
      </c>
      <c r="D33" s="48" t="s">
        <v>124</v>
      </c>
      <c r="E33" s="18">
        <v>18</v>
      </c>
      <c r="F33" s="18">
        <v>18</v>
      </c>
      <c r="G33" s="18">
        <v>18</v>
      </c>
      <c r="H33" s="18">
        <v>18</v>
      </c>
      <c r="I33" s="18">
        <v>18</v>
      </c>
      <c r="J33" s="18">
        <v>18</v>
      </c>
      <c r="K33" s="18">
        <v>18</v>
      </c>
      <c r="L33" s="18">
        <v>18</v>
      </c>
      <c r="M33" s="18">
        <v>18</v>
      </c>
      <c r="N33" s="18">
        <v>18</v>
      </c>
      <c r="O33" s="88"/>
      <c r="Q33" s="4"/>
    </row>
    <row r="34" spans="2:17" hidden="1" x14ac:dyDescent="0.25">
      <c r="B34" s="198"/>
      <c r="C34" s="2" t="s">
        <v>180</v>
      </c>
      <c r="D34" s="48"/>
      <c r="E34" s="41">
        <v>1.06</v>
      </c>
      <c r="F34" s="41">
        <v>1.06</v>
      </c>
      <c r="G34" s="41">
        <v>1.06</v>
      </c>
      <c r="H34" s="41">
        <v>1.06</v>
      </c>
      <c r="I34" s="41">
        <v>1.06</v>
      </c>
      <c r="J34" s="41">
        <v>1.06</v>
      </c>
      <c r="K34" s="41">
        <v>1.06</v>
      </c>
      <c r="L34" s="41">
        <v>1.06</v>
      </c>
      <c r="M34" s="41">
        <v>1.06</v>
      </c>
      <c r="N34" s="41">
        <v>1.06</v>
      </c>
      <c r="O34" s="88"/>
      <c r="Q34" s="4"/>
    </row>
    <row r="35" spans="2:17" hidden="1" x14ac:dyDescent="0.25">
      <c r="B35" s="198"/>
      <c r="C35" s="2" t="s">
        <v>181</v>
      </c>
      <c r="D35" s="50"/>
      <c r="E35" s="41">
        <v>1.03</v>
      </c>
      <c r="F35" s="41">
        <v>1.03</v>
      </c>
      <c r="G35" s="41">
        <v>1.03</v>
      </c>
      <c r="H35" s="41">
        <v>1.03</v>
      </c>
      <c r="I35" s="41">
        <v>1.03</v>
      </c>
      <c r="J35" s="41">
        <v>1.03</v>
      </c>
      <c r="K35" s="41">
        <v>1.03</v>
      </c>
      <c r="L35" s="41">
        <v>1.03</v>
      </c>
      <c r="M35" s="41">
        <v>1.03</v>
      </c>
      <c r="N35" s="41">
        <v>1.03</v>
      </c>
      <c r="O35" s="88"/>
      <c r="Q35" s="4"/>
    </row>
    <row r="36" spans="2:17" x14ac:dyDescent="0.25">
      <c r="B36" s="198"/>
      <c r="C36" s="2" t="s">
        <v>167</v>
      </c>
      <c r="D36" s="64" t="s">
        <v>76</v>
      </c>
      <c r="E36" s="65">
        <v>7.4999999999999997E-2</v>
      </c>
      <c r="F36" s="65">
        <v>7.4999999999999997E-2</v>
      </c>
      <c r="G36" s="65">
        <v>7.4999999999999997E-2</v>
      </c>
      <c r="H36" s="65">
        <v>7.4999999999999997E-2</v>
      </c>
      <c r="I36" s="65">
        <v>7.4999999999999997E-2</v>
      </c>
      <c r="J36" s="65">
        <v>7.4999999999999997E-2</v>
      </c>
      <c r="K36" s="65">
        <v>7.4999999999999997E-2</v>
      </c>
      <c r="L36" s="65">
        <v>7.4999999999999997E-2</v>
      </c>
      <c r="M36" s="65">
        <v>7.4999999999999997E-2</v>
      </c>
      <c r="N36" s="65">
        <v>7.4999999999999997E-2</v>
      </c>
      <c r="O36" s="88"/>
      <c r="Q36" s="4"/>
    </row>
    <row r="37" spans="2:17" x14ac:dyDescent="0.25">
      <c r="B37" s="198"/>
      <c r="C37" s="2" t="s">
        <v>7</v>
      </c>
      <c r="D37" s="64" t="s">
        <v>76</v>
      </c>
      <c r="E37" s="65">
        <v>7.4999999999999997E-2</v>
      </c>
      <c r="F37" s="65">
        <v>7.4999999999999997E-2</v>
      </c>
      <c r="G37" s="65">
        <v>7.4999999999999997E-2</v>
      </c>
      <c r="H37" s="65">
        <v>7.4999999999999997E-2</v>
      </c>
      <c r="I37" s="65">
        <v>7.4999999999999997E-2</v>
      </c>
      <c r="J37" s="65">
        <v>7.4999999999999997E-2</v>
      </c>
      <c r="K37" s="65">
        <v>7.4999999999999997E-2</v>
      </c>
      <c r="L37" s="65">
        <v>7.4999999999999997E-2</v>
      </c>
      <c r="M37" s="65">
        <v>7.4999999999999997E-2</v>
      </c>
      <c r="N37" s="65">
        <v>7.4999999999999997E-2</v>
      </c>
      <c r="O37" s="88"/>
      <c r="Q37" s="4"/>
    </row>
    <row r="38" spans="2:17" x14ac:dyDescent="0.25">
      <c r="B38" s="198"/>
      <c r="C38" s="2" t="s">
        <v>168</v>
      </c>
      <c r="D38" s="64" t="s">
        <v>76</v>
      </c>
      <c r="E38" s="65">
        <v>5.0000000000000001E-3</v>
      </c>
      <c r="F38" s="65">
        <v>5.0000000000000001E-3</v>
      </c>
      <c r="G38" s="65">
        <v>5.0000000000000001E-3</v>
      </c>
      <c r="H38" s="65">
        <v>5.0000000000000001E-3</v>
      </c>
      <c r="I38" s="65">
        <v>5.0000000000000001E-3</v>
      </c>
      <c r="J38" s="65">
        <v>5.0000000000000001E-3</v>
      </c>
      <c r="K38" s="65">
        <v>5.0000000000000001E-3</v>
      </c>
      <c r="L38" s="65">
        <v>5.0000000000000001E-3</v>
      </c>
      <c r="M38" s="65">
        <v>5.0000000000000001E-3</v>
      </c>
      <c r="N38" s="65">
        <v>5.0000000000000001E-3</v>
      </c>
      <c r="O38" s="88"/>
      <c r="Q38" s="4"/>
    </row>
    <row r="39" spans="2:17" x14ac:dyDescent="0.25">
      <c r="B39" s="198"/>
      <c r="C39" s="2" t="s">
        <v>72</v>
      </c>
      <c r="D39" s="74" t="s">
        <v>74</v>
      </c>
      <c r="E39" s="18">
        <v>0.14000000000000001</v>
      </c>
      <c r="F39" s="18">
        <v>0.14000000000000001</v>
      </c>
      <c r="G39" s="18">
        <v>0.14000000000000001</v>
      </c>
      <c r="H39" s="18">
        <v>0.14000000000000001</v>
      </c>
      <c r="I39" s="18">
        <v>0.14000000000000001</v>
      </c>
      <c r="J39" s="18">
        <v>0.14000000000000001</v>
      </c>
      <c r="K39" s="18">
        <v>0.14000000000000001</v>
      </c>
      <c r="L39" s="18">
        <v>0.14000000000000001</v>
      </c>
      <c r="M39" s="18">
        <v>0.14000000000000001</v>
      </c>
      <c r="N39" s="18">
        <v>0.14000000000000001</v>
      </c>
      <c r="Q39" s="4"/>
    </row>
    <row r="40" spans="2:17" x14ac:dyDescent="0.25">
      <c r="B40" s="148"/>
      <c r="C40" s="2" t="s">
        <v>204</v>
      </c>
      <c r="D40" s="147" t="s">
        <v>201</v>
      </c>
      <c r="E40" s="18">
        <v>541.46429999999998</v>
      </c>
      <c r="F40" s="18">
        <v>541.46429999999998</v>
      </c>
      <c r="G40" s="18">
        <v>541.46429999999998</v>
      </c>
      <c r="H40" s="18">
        <v>541.46429999999998</v>
      </c>
      <c r="I40" s="18">
        <v>541.46429999999998</v>
      </c>
      <c r="J40" s="18">
        <v>541.46429999999998</v>
      </c>
      <c r="K40" s="18">
        <v>541.46429999999998</v>
      </c>
      <c r="L40" s="18">
        <v>541.46429999999998</v>
      </c>
      <c r="M40" s="18">
        <v>541.46429999999998</v>
      </c>
      <c r="N40" s="18">
        <v>541.46429999999998</v>
      </c>
      <c r="O40" s="145"/>
      <c r="Q40" s="4"/>
    </row>
    <row r="41" spans="2:17" ht="15.75" customHeight="1" x14ac:dyDescent="0.25">
      <c r="B41" s="91"/>
      <c r="C41" s="131" t="s">
        <v>123</v>
      </c>
      <c r="D41" s="71" t="s">
        <v>201</v>
      </c>
      <c r="E41" s="171"/>
      <c r="F41" s="171">
        <f>+CAPEX!G89</f>
        <v>135068713000</v>
      </c>
      <c r="G41" s="171">
        <f>+CAPEX!K89</f>
        <v>130728410000</v>
      </c>
      <c r="H41" s="171">
        <f>+CAPEX!O89</f>
        <v>134844744000</v>
      </c>
      <c r="I41" s="171">
        <f>+CAPEX!S89</f>
        <v>90385814000</v>
      </c>
      <c r="J41" s="171">
        <f>+CAPEX!W89</f>
        <v>88086844000</v>
      </c>
      <c r="K41" s="171">
        <f>+CAPEX!AA89</f>
        <v>92207819000</v>
      </c>
      <c r="L41" s="171">
        <f>+CAPEX!AE89</f>
        <v>96236113000</v>
      </c>
      <c r="M41" s="171">
        <f>+CAPEX!AI89</f>
        <v>102097209000</v>
      </c>
      <c r="N41" s="171">
        <f>+CAPEX!AM89</f>
        <v>105735029000</v>
      </c>
      <c r="O41" s="88"/>
      <c r="P41" s="75"/>
      <c r="Q41" s="4"/>
    </row>
    <row r="42" spans="2:17" ht="15.75" customHeight="1" x14ac:dyDescent="0.25">
      <c r="B42" s="91"/>
      <c r="C42" s="131" t="s">
        <v>215</v>
      </c>
      <c r="D42" s="71" t="s">
        <v>201</v>
      </c>
      <c r="E42" s="171"/>
      <c r="F42" s="171">
        <f>+CAPEX!G98</f>
        <v>87942315000</v>
      </c>
      <c r="G42" s="171">
        <f>+CAPEX!K98</f>
        <v>84310713000</v>
      </c>
      <c r="H42" s="171">
        <f>+CAPEX!O98</f>
        <v>87664249000</v>
      </c>
      <c r="I42" s="171">
        <f>+CAPEX!S98</f>
        <v>59221808000</v>
      </c>
      <c r="J42" s="171">
        <f>+CAPEX!W98</f>
        <v>57357592000</v>
      </c>
      <c r="K42" s="171">
        <f>+CAPEX!AA98</f>
        <v>60715148000</v>
      </c>
      <c r="L42" s="171">
        <f>+CAPEX!AE98</f>
        <v>64160772000</v>
      </c>
      <c r="M42" s="171">
        <f>+CAPEX!AI98</f>
        <v>68940768000</v>
      </c>
      <c r="N42" s="171">
        <f>+CAPEX!AM98</f>
        <v>71964162000</v>
      </c>
      <c r="O42" s="88"/>
      <c r="P42" s="75"/>
      <c r="Q42" s="4"/>
    </row>
    <row r="43" spans="2:17" ht="30" x14ac:dyDescent="0.25">
      <c r="C43" s="132" t="s">
        <v>232</v>
      </c>
      <c r="D43" s="71" t="s">
        <v>201</v>
      </c>
      <c r="E43" s="171"/>
      <c r="F43" s="171">
        <f>+OPEX!G78</f>
        <v>4174035000</v>
      </c>
      <c r="G43" s="171">
        <f>+OPEX!K78</f>
        <v>3977397000</v>
      </c>
      <c r="H43" s="171">
        <f>+OPEX!O78</f>
        <v>4167821000</v>
      </c>
      <c r="I43" s="171">
        <f>+OPEX!S78</f>
        <v>3503637000</v>
      </c>
      <c r="J43" s="171">
        <f>+OPEX!W78</f>
        <v>3327806000</v>
      </c>
      <c r="K43" s="171">
        <f>+OPEX!AA78</f>
        <v>3540933000</v>
      </c>
      <c r="L43" s="171">
        <f>+OPEX!AE78</f>
        <v>3650963000</v>
      </c>
      <c r="M43" s="171">
        <f>+OPEX!AI78</f>
        <v>3854994000</v>
      </c>
      <c r="N43" s="171">
        <f>+OPEX!AM78</f>
        <v>4065845000</v>
      </c>
      <c r="Q43" s="4"/>
    </row>
    <row r="44" spans="2:17" x14ac:dyDescent="0.25">
      <c r="B44" s="91"/>
      <c r="C44" s="177" t="s">
        <v>123</v>
      </c>
      <c r="D44" s="10" t="s">
        <v>74</v>
      </c>
      <c r="E44" s="178"/>
      <c r="F44" s="178">
        <f t="shared" ref="F44" si="30">+F41/$B$2</f>
        <v>31297202.990027063</v>
      </c>
      <c r="G44" s="178">
        <f t="shared" ref="G44:N44" si="31">+G41/$B$2</f>
        <v>30291497.516034551</v>
      </c>
      <c r="H44" s="178">
        <f t="shared" si="31"/>
        <v>31245306.417528637</v>
      </c>
      <c r="I44" s="178">
        <f t="shared" si="31"/>
        <v>20943585.715344973</v>
      </c>
      <c r="J44" s="178">
        <f t="shared" si="31"/>
        <v>20410884.032180328</v>
      </c>
      <c r="K44" s="178">
        <f t="shared" si="31"/>
        <v>21365768.314610906</v>
      </c>
      <c r="L44" s="178">
        <f t="shared" si="31"/>
        <v>22299177.186445702</v>
      </c>
      <c r="M44" s="178">
        <f t="shared" si="31"/>
        <v>23657270.464909352</v>
      </c>
      <c r="N44" s="178">
        <f t="shared" si="31"/>
        <v>24500201.358766172</v>
      </c>
      <c r="O44" s="189"/>
      <c r="P44" s="75"/>
      <c r="Q44" s="4"/>
    </row>
    <row r="45" spans="2:17" x14ac:dyDescent="0.25">
      <c r="B45" s="91"/>
      <c r="C45" s="177" t="s">
        <v>215</v>
      </c>
      <c r="D45" s="10" t="s">
        <v>74</v>
      </c>
      <c r="E45" s="178"/>
      <c r="F45" s="178">
        <f>+CAPEX!F98</f>
        <v>20377395.015321892</v>
      </c>
      <c r="G45" s="178">
        <f>+CAPEX!J98</f>
        <v>19535904.668391369</v>
      </c>
      <c r="H45" s="178">
        <f>+CAPEX!N98</f>
        <v>20312963.311123721</v>
      </c>
      <c r="I45" s="178">
        <f>+CAPEX!R98</f>
        <v>13722474.432730969</v>
      </c>
      <c r="J45" s="178">
        <f>+CAPEX!V98</f>
        <v>13290511.043094769</v>
      </c>
      <c r="K45" s="178">
        <f>+CAPEX!Z98</f>
        <v>14068500.814659024</v>
      </c>
      <c r="L45" s="178">
        <f>+CAPEX!AD98</f>
        <v>14866897.41509328</v>
      </c>
      <c r="M45" s="178">
        <f>+CAPEX!AH98</f>
        <v>15974485.511253713</v>
      </c>
      <c r="N45" s="178">
        <f>+CAPEX!AL98</f>
        <v>16675045.669526834</v>
      </c>
      <c r="O45" s="88"/>
      <c r="P45" s="75"/>
      <c r="Q45" s="4"/>
    </row>
    <row r="46" spans="2:17" ht="15.75" customHeight="1" x14ac:dyDescent="0.25">
      <c r="B46" s="91"/>
      <c r="C46" s="179" t="s">
        <v>188</v>
      </c>
      <c r="D46" s="10" t="s">
        <v>74</v>
      </c>
      <c r="E46" s="178"/>
      <c r="F46" s="178">
        <f t="shared" ref="F46" si="32">+F43/$B$2</f>
        <v>967178.98454009555</v>
      </c>
      <c r="G46" s="178">
        <f t="shared" ref="G46:N46" si="33">+G43/$B$2</f>
        <v>921615.36536536529</v>
      </c>
      <c r="H46" s="178">
        <f t="shared" si="33"/>
        <v>965739.11874837789</v>
      </c>
      <c r="I46" s="178">
        <f t="shared" si="33"/>
        <v>811838.92225558881</v>
      </c>
      <c r="J46" s="178">
        <f t="shared" si="33"/>
        <v>771096.55952248536</v>
      </c>
      <c r="K46" s="178">
        <f t="shared" si="33"/>
        <v>820480.89756423084</v>
      </c>
      <c r="L46" s="178">
        <f t="shared" si="33"/>
        <v>845976.30037444842</v>
      </c>
      <c r="M46" s="178">
        <f t="shared" si="33"/>
        <v>893252.97519741952</v>
      </c>
      <c r="N46" s="178">
        <f t="shared" si="33"/>
        <v>942109.93400808214</v>
      </c>
      <c r="O46" s="88"/>
      <c r="P46" s="75"/>
      <c r="Q46" s="4"/>
    </row>
    <row r="47" spans="2:17" s="88" customFormat="1" ht="15.75" customHeight="1" x14ac:dyDescent="0.25">
      <c r="B47" s="154"/>
      <c r="C47" s="92"/>
      <c r="D47" s="87"/>
      <c r="E47" s="155"/>
    </row>
    <row r="48" spans="2:17" ht="60" x14ac:dyDescent="0.25">
      <c r="C48" s="86" t="s">
        <v>173</v>
      </c>
      <c r="D48" s="85" t="s">
        <v>195</v>
      </c>
      <c r="E48" s="85" t="s">
        <v>196</v>
      </c>
      <c r="O48" s="87"/>
      <c r="Q48" s="4"/>
    </row>
    <row r="49" spans="2:17" x14ac:dyDescent="0.25">
      <c r="B49" s="203" t="s">
        <v>175</v>
      </c>
      <c r="C49" s="2" t="s">
        <v>60</v>
      </c>
      <c r="D49" s="138">
        <v>147840000</v>
      </c>
      <c r="E49" s="138">
        <f>ROUND(+D49+D49*$B$1,-3)</f>
        <v>185096000</v>
      </c>
      <c r="O49" s="153"/>
      <c r="Q49" s="4"/>
    </row>
    <row r="50" spans="2:17" x14ac:dyDescent="0.25">
      <c r="B50" s="203"/>
      <c r="C50" s="2" t="s">
        <v>61</v>
      </c>
      <c r="D50" s="138">
        <v>102960000</v>
      </c>
      <c r="E50" s="138">
        <f>+ROUND(D50+D50*$B$1,-3)</f>
        <v>128906000</v>
      </c>
      <c r="O50" s="153"/>
      <c r="Q50" s="4"/>
    </row>
    <row r="51" spans="2:17" x14ac:dyDescent="0.25">
      <c r="B51" s="203"/>
      <c r="C51" s="2" t="s">
        <v>62</v>
      </c>
      <c r="D51" s="138">
        <v>43048514.520000003</v>
      </c>
      <c r="E51" s="138">
        <f>+ROUND(D51+D51*$B$1,-3)</f>
        <v>53897000</v>
      </c>
      <c r="O51" s="153"/>
      <c r="Q51" s="4"/>
    </row>
    <row r="52" spans="2:17" x14ac:dyDescent="0.25">
      <c r="B52" s="203"/>
      <c r="C52" s="2" t="s">
        <v>63</v>
      </c>
      <c r="D52" s="138">
        <v>43048514.520000011</v>
      </c>
      <c r="E52" s="138">
        <f>+ROUND(D52+D52*$B$1,-3)</f>
        <v>53897000</v>
      </c>
      <c r="O52" s="153"/>
      <c r="Q52" s="4"/>
    </row>
    <row r="53" spans="2:17" x14ac:dyDescent="0.25">
      <c r="B53" s="203"/>
      <c r="C53" s="2" t="s">
        <v>64</v>
      </c>
      <c r="D53" s="138">
        <v>16296000</v>
      </c>
      <c r="E53" s="138">
        <f>+ROUND(D53+D53*$B$1,-3)</f>
        <v>20403000</v>
      </c>
      <c r="O53" s="153"/>
      <c r="Q53" s="4"/>
    </row>
    <row r="54" spans="2:17" ht="14.45" customHeight="1" x14ac:dyDescent="0.25">
      <c r="B54" s="203" t="s">
        <v>174</v>
      </c>
      <c r="C54" s="24" t="s">
        <v>82</v>
      </c>
      <c r="D54" s="199" t="s">
        <v>202</v>
      </c>
      <c r="E54" s="199"/>
      <c r="O54" s="153"/>
      <c r="Q54" s="4"/>
    </row>
    <row r="55" spans="2:17" x14ac:dyDescent="0.25">
      <c r="B55" s="203"/>
      <c r="C55" s="24" t="s">
        <v>83</v>
      </c>
      <c r="D55" s="199"/>
      <c r="E55" s="199"/>
      <c r="O55" s="153"/>
      <c r="Q55" s="4"/>
    </row>
    <row r="56" spans="2:17" x14ac:dyDescent="0.25">
      <c r="B56" s="203"/>
      <c r="C56" s="25" t="s">
        <v>88</v>
      </c>
      <c r="D56" s="199"/>
      <c r="E56" s="199"/>
      <c r="O56" s="153"/>
      <c r="Q56" s="4"/>
    </row>
    <row r="57" spans="2:17" x14ac:dyDescent="0.25">
      <c r="B57" s="203"/>
      <c r="C57" s="24" t="s">
        <v>84</v>
      </c>
      <c r="D57" s="199"/>
      <c r="E57" s="199"/>
      <c r="O57" s="153"/>
      <c r="Q57" s="4"/>
    </row>
    <row r="58" spans="2:17" x14ac:dyDescent="0.25">
      <c r="B58" s="203"/>
      <c r="C58" s="24" t="s">
        <v>102</v>
      </c>
      <c r="D58" s="199"/>
      <c r="E58" s="199"/>
      <c r="O58" s="153"/>
      <c r="Q58" s="4"/>
    </row>
    <row r="59" spans="2:17" x14ac:dyDescent="0.25">
      <c r="B59" s="203"/>
      <c r="C59" s="25" t="s">
        <v>91</v>
      </c>
      <c r="D59" s="199"/>
      <c r="E59" s="199"/>
      <c r="O59" s="153"/>
      <c r="Q59" s="4"/>
    </row>
    <row r="60" spans="2:17" x14ac:dyDescent="0.25">
      <c r="B60" s="203"/>
      <c r="C60" s="25" t="s">
        <v>85</v>
      </c>
      <c r="D60" s="199"/>
      <c r="E60" s="199"/>
      <c r="O60" s="153"/>
      <c r="Q60" s="4"/>
    </row>
    <row r="61" spans="2:17" x14ac:dyDescent="0.25">
      <c r="B61" s="203"/>
      <c r="C61" s="25" t="s">
        <v>86</v>
      </c>
      <c r="D61" s="199"/>
      <c r="E61" s="199"/>
      <c r="O61" s="153"/>
      <c r="Q61" s="4"/>
    </row>
    <row r="62" spans="2:17" x14ac:dyDescent="0.25">
      <c r="B62" s="203"/>
      <c r="C62" s="25" t="s">
        <v>89</v>
      </c>
      <c r="D62" s="199"/>
      <c r="E62" s="199"/>
      <c r="O62" s="153"/>
      <c r="Q62" s="4"/>
    </row>
    <row r="63" spans="2:17" ht="14.45" customHeight="1" x14ac:dyDescent="0.25">
      <c r="B63" s="203"/>
      <c r="C63" s="24" t="s">
        <v>90</v>
      </c>
      <c r="D63" s="199"/>
      <c r="E63" s="199"/>
      <c r="O63" s="153"/>
      <c r="Q63" s="4"/>
    </row>
    <row r="64" spans="2:17" x14ac:dyDescent="0.25">
      <c r="B64" s="200" t="s">
        <v>176</v>
      </c>
      <c r="C64" s="24" t="s">
        <v>94</v>
      </c>
      <c r="D64" s="138">
        <v>15960000</v>
      </c>
      <c r="E64" s="138">
        <f>+ROUND(D64+D64*$B$1,-3)</f>
        <v>19982000</v>
      </c>
      <c r="O64" s="153"/>
      <c r="Q64" s="4"/>
    </row>
    <row r="65" spans="2:17" x14ac:dyDescent="0.25">
      <c r="B65" s="201"/>
      <c r="C65" s="24" t="s">
        <v>95</v>
      </c>
      <c r="D65" s="138">
        <f>+D64</f>
        <v>15960000</v>
      </c>
      <c r="E65" s="138">
        <f>+ROUND(D65+D65*$B$1,-3)</f>
        <v>19982000</v>
      </c>
      <c r="O65" s="153"/>
      <c r="Q65" s="4"/>
    </row>
    <row r="66" spans="2:17" x14ac:dyDescent="0.25">
      <c r="B66" s="201"/>
      <c r="C66" s="25" t="s">
        <v>96</v>
      </c>
      <c r="D66" s="138">
        <v>24651475</v>
      </c>
      <c r="E66" s="138">
        <f>+ROUND(D66+D66*$B$1,-3)</f>
        <v>30864000</v>
      </c>
      <c r="O66" s="153"/>
      <c r="Q66" s="4"/>
    </row>
    <row r="67" spans="2:17" x14ac:dyDescent="0.25">
      <c r="B67" s="202"/>
      <c r="C67" s="24" t="s">
        <v>97</v>
      </c>
      <c r="D67" s="138">
        <f>+D51</f>
        <v>43048514.520000003</v>
      </c>
      <c r="E67" s="138">
        <f>+ROUND(D67+D67*$B$1,-3)</f>
        <v>53897000</v>
      </c>
      <c r="O67" s="153"/>
      <c r="Q67" s="4"/>
    </row>
    <row r="68" spans="2:17" s="78" customFormat="1" x14ac:dyDescent="0.25">
      <c r="B68" s="79"/>
      <c r="C68" s="80"/>
      <c r="D68" s="81"/>
      <c r="E68" s="82"/>
      <c r="O68" s="83"/>
    </row>
    <row r="69" spans="2:17" x14ac:dyDescent="0.25">
      <c r="Q69" s="4"/>
    </row>
    <row r="70" spans="2:17" x14ac:dyDescent="0.25">
      <c r="Q70" s="4"/>
    </row>
    <row r="71" spans="2:17" x14ac:dyDescent="0.25">
      <c r="Q71" s="4"/>
    </row>
  </sheetData>
  <mergeCells count="8">
    <mergeCell ref="L2:N2"/>
    <mergeCell ref="B4:B39"/>
    <mergeCell ref="D54:E63"/>
    <mergeCell ref="B64:B67"/>
    <mergeCell ref="B49:B53"/>
    <mergeCell ref="B54:B63"/>
    <mergeCell ref="F2:H2"/>
    <mergeCell ref="I2:K2"/>
  </mergeCells>
  <phoneticPr fontId="38" type="noConversion"/>
  <dataValidations count="1">
    <dataValidation type="list" allowBlank="1" showInputMessage="1" showErrorMessage="1" sqref="E20:N20" xr:uid="{7C987106-E53B-4844-8EEC-F4A7F6EB8164}">
      <formula1>"8,10,12"</formula1>
    </dataValidation>
  </dataValidations>
  <printOptions horizontalCentered="1"/>
  <pageMargins left="0.27" right="0.25" top="1.37" bottom="0.74803149606299213" header="0.31496062992125984" footer="0.31496062992125984"/>
  <pageSetup paperSize="9" scale="42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DF94B-D87D-4D2F-AC98-08F0D6BA6920}">
  <sheetPr>
    <tabColor theme="6"/>
  </sheetPr>
  <dimension ref="A1:AM111"/>
  <sheetViews>
    <sheetView topLeftCell="V1" zoomScale="85" zoomScaleNormal="85" workbookViewId="0">
      <pane ySplit="4" topLeftCell="A60" activePane="bottomLeft" state="frozen"/>
      <selection pane="bottomLeft" activeCell="AC4" sqref="AC4:AC65"/>
    </sheetView>
  </sheetViews>
  <sheetFormatPr baseColWidth="10" defaultColWidth="11.5703125" defaultRowHeight="15" x14ac:dyDescent="0.25"/>
  <cols>
    <col min="1" max="1" width="7.5703125" style="96" customWidth="1"/>
    <col min="2" max="2" width="57.7109375" style="97" customWidth="1"/>
    <col min="3" max="3" width="8.5703125" style="72" customWidth="1"/>
    <col min="4" max="5" width="14.7109375" style="72" customWidth="1"/>
    <col min="6" max="7" width="14.7109375" style="73" customWidth="1"/>
    <col min="8" max="9" width="14.7109375" style="72" customWidth="1"/>
    <col min="10" max="11" width="14.7109375" style="73" customWidth="1"/>
    <col min="12" max="13" width="14.7109375" style="72" customWidth="1"/>
    <col min="14" max="15" width="14.7109375" style="73" customWidth="1"/>
    <col min="16" max="17" width="14.7109375" style="72" customWidth="1"/>
    <col min="18" max="19" width="14.7109375" style="73" customWidth="1"/>
    <col min="20" max="21" width="14.7109375" style="72" customWidth="1"/>
    <col min="22" max="23" width="14.7109375" style="73" customWidth="1"/>
    <col min="24" max="25" width="14.7109375" style="72" customWidth="1"/>
    <col min="26" max="27" width="14.7109375" style="73" customWidth="1"/>
    <col min="28" max="29" width="14.7109375" style="72" customWidth="1"/>
    <col min="30" max="31" width="14.7109375" style="73" customWidth="1"/>
    <col min="32" max="33" width="14.7109375" style="72" customWidth="1"/>
    <col min="34" max="35" width="14.7109375" style="73" customWidth="1"/>
    <col min="36" max="37" width="14.7109375" style="72" customWidth="1"/>
    <col min="38" max="39" width="14.7109375" style="73" customWidth="1"/>
    <col min="40" max="16384" width="11.5703125" style="113"/>
  </cols>
  <sheetData>
    <row r="1" spans="1:39" x14ac:dyDescent="0.25">
      <c r="A1" s="72"/>
      <c r="B1" s="137" t="s">
        <v>194</v>
      </c>
      <c r="C1" s="137">
        <v>4315.68</v>
      </c>
    </row>
    <row r="2" spans="1:39" x14ac:dyDescent="0.25">
      <c r="C2" s="113"/>
      <c r="E2" s="113"/>
      <c r="F2" s="114"/>
      <c r="G2" s="114"/>
      <c r="I2" s="113"/>
      <c r="J2" s="114"/>
      <c r="K2" s="114"/>
      <c r="M2" s="113"/>
      <c r="N2" s="114"/>
      <c r="O2" s="114"/>
      <c r="Q2" s="113"/>
      <c r="R2" s="114"/>
      <c r="S2" s="114"/>
      <c r="U2" s="113"/>
      <c r="V2" s="114"/>
      <c r="W2" s="114"/>
      <c r="Y2" s="113"/>
      <c r="Z2" s="114"/>
      <c r="AA2" s="114"/>
      <c r="AC2" s="113"/>
      <c r="AD2" s="114"/>
      <c r="AE2" s="114"/>
      <c r="AG2" s="113"/>
      <c r="AH2" s="114"/>
      <c r="AI2" s="114"/>
      <c r="AK2" s="113"/>
      <c r="AL2" s="114"/>
      <c r="AM2" s="114"/>
    </row>
    <row r="3" spans="1:39" x14ac:dyDescent="0.25">
      <c r="A3" s="98"/>
      <c r="E3" s="206" t="s">
        <v>221</v>
      </c>
      <c r="F3" s="207"/>
      <c r="G3" s="207"/>
      <c r="I3" s="206" t="s">
        <v>245</v>
      </c>
      <c r="J3" s="207"/>
      <c r="K3" s="207"/>
      <c r="M3" s="206" t="s">
        <v>217</v>
      </c>
      <c r="N3" s="207"/>
      <c r="O3" s="207"/>
      <c r="Q3" s="206" t="s">
        <v>218</v>
      </c>
      <c r="R3" s="207"/>
      <c r="S3" s="207"/>
      <c r="U3" s="206" t="s">
        <v>243</v>
      </c>
      <c r="V3" s="207"/>
      <c r="W3" s="207"/>
      <c r="Y3" s="206" t="s">
        <v>244</v>
      </c>
      <c r="Z3" s="207"/>
      <c r="AA3" s="207"/>
      <c r="AC3" s="206" t="s">
        <v>222</v>
      </c>
      <c r="AD3" s="207"/>
      <c r="AE3" s="207"/>
      <c r="AG3" s="206" t="s">
        <v>242</v>
      </c>
      <c r="AH3" s="207"/>
      <c r="AI3" s="207"/>
      <c r="AK3" s="206" t="s">
        <v>223</v>
      </c>
      <c r="AL3" s="207"/>
      <c r="AM3" s="207"/>
    </row>
    <row r="4" spans="1:39" ht="25.5" x14ac:dyDescent="0.25">
      <c r="A4" s="99"/>
      <c r="B4" s="100"/>
      <c r="C4" s="93" t="s">
        <v>104</v>
      </c>
      <c r="D4" s="94" t="s">
        <v>169</v>
      </c>
      <c r="E4" s="94" t="s">
        <v>163</v>
      </c>
      <c r="F4" s="95" t="s">
        <v>129</v>
      </c>
      <c r="G4" s="95" t="s">
        <v>131</v>
      </c>
      <c r="H4" s="94" t="s">
        <v>169</v>
      </c>
      <c r="I4" s="94" t="s">
        <v>163</v>
      </c>
      <c r="J4" s="95" t="s">
        <v>129</v>
      </c>
      <c r="K4" s="95" t="s">
        <v>131</v>
      </c>
      <c r="L4" s="94" t="s">
        <v>169</v>
      </c>
      <c r="M4" s="94" t="s">
        <v>163</v>
      </c>
      <c r="N4" s="95" t="s">
        <v>129</v>
      </c>
      <c r="O4" s="95" t="s">
        <v>131</v>
      </c>
      <c r="P4" s="94" t="s">
        <v>169</v>
      </c>
      <c r="Q4" s="94" t="s">
        <v>163</v>
      </c>
      <c r="R4" s="95" t="s">
        <v>129</v>
      </c>
      <c r="S4" s="95" t="s">
        <v>131</v>
      </c>
      <c r="T4" s="94" t="s">
        <v>169</v>
      </c>
      <c r="U4" s="94" t="s">
        <v>163</v>
      </c>
      <c r="V4" s="95" t="s">
        <v>129</v>
      </c>
      <c r="W4" s="95" t="s">
        <v>131</v>
      </c>
      <c r="X4" s="94" t="s">
        <v>169</v>
      </c>
      <c r="Y4" s="94" t="s">
        <v>163</v>
      </c>
      <c r="Z4" s="95" t="s">
        <v>129</v>
      </c>
      <c r="AA4" s="95" t="s">
        <v>131</v>
      </c>
      <c r="AB4" s="94" t="s">
        <v>169</v>
      </c>
      <c r="AC4" s="94" t="s">
        <v>163</v>
      </c>
      <c r="AD4" s="95" t="s">
        <v>129</v>
      </c>
      <c r="AE4" s="95" t="s">
        <v>131</v>
      </c>
      <c r="AF4" s="94" t="s">
        <v>169</v>
      </c>
      <c r="AG4" s="94" t="s">
        <v>163</v>
      </c>
      <c r="AH4" s="95" t="s">
        <v>129</v>
      </c>
      <c r="AI4" s="95" t="s">
        <v>131</v>
      </c>
      <c r="AJ4" s="94" t="s">
        <v>169</v>
      </c>
      <c r="AK4" s="94" t="s">
        <v>163</v>
      </c>
      <c r="AL4" s="95" t="s">
        <v>129</v>
      </c>
      <c r="AM4" s="95" t="s">
        <v>131</v>
      </c>
    </row>
    <row r="5" spans="1:39" x14ac:dyDescent="0.25">
      <c r="A5" s="54">
        <v>1</v>
      </c>
      <c r="B5" s="55" t="s">
        <v>2</v>
      </c>
      <c r="C5" s="56"/>
      <c r="D5" s="56"/>
      <c r="E5" s="56"/>
      <c r="F5" s="57">
        <f>+SUM(F6:F11)</f>
        <v>1446692.076923077</v>
      </c>
      <c r="G5" s="57">
        <f t="shared" ref="G5:G36" si="0">+F5*$C$1</f>
        <v>6243460062.5353851</v>
      </c>
      <c r="H5" s="56"/>
      <c r="I5" s="56"/>
      <c r="J5" s="57">
        <f>+SUM(J6:J11)</f>
        <v>1446692.076923077</v>
      </c>
      <c r="K5" s="57">
        <f t="shared" ref="K5:K36" si="1">+J5*$C$1</f>
        <v>6243460062.5353851</v>
      </c>
      <c r="L5" s="56"/>
      <c r="M5" s="56"/>
      <c r="N5" s="57">
        <f>+SUM(N6:N11)</f>
        <v>1446692.076923077</v>
      </c>
      <c r="O5" s="57">
        <f t="shared" ref="O5:O36" si="2">+N5*$C$1</f>
        <v>6243460062.5353851</v>
      </c>
      <c r="P5" s="56"/>
      <c r="Q5" s="56"/>
      <c r="R5" s="57">
        <f>+SUM(R6:R11)</f>
        <v>1315174.6153846155</v>
      </c>
      <c r="S5" s="57">
        <f t="shared" ref="S5:S36" si="3">+R5*$C$1</f>
        <v>5675872784.1230774</v>
      </c>
      <c r="T5" s="56"/>
      <c r="U5" s="56"/>
      <c r="V5" s="57">
        <f>+SUM(V6:V11)</f>
        <v>1315174.6153846155</v>
      </c>
      <c r="W5" s="57">
        <f t="shared" ref="W5:W36" si="4">+V5*$C$1</f>
        <v>5675872784.1230774</v>
      </c>
      <c r="X5" s="56"/>
      <c r="Y5" s="56"/>
      <c r="Z5" s="57">
        <f>+SUM(Z6:Z11)</f>
        <v>1315174.6153846155</v>
      </c>
      <c r="AA5" s="57">
        <f t="shared" ref="AA5:AA36" si="5">+Z5*$C$1</f>
        <v>5675872784.1230774</v>
      </c>
      <c r="AB5" s="56"/>
      <c r="AC5" s="56"/>
      <c r="AD5" s="57">
        <f>+SUM(AD6:AD11)</f>
        <v>1315174.6153846155</v>
      </c>
      <c r="AE5" s="57">
        <f t="shared" ref="AE5:AE36" si="6">+AD5*$C$1</f>
        <v>5675872784.1230774</v>
      </c>
      <c r="AF5" s="56"/>
      <c r="AG5" s="56"/>
      <c r="AH5" s="57">
        <f>+SUM(AH6:AH11)</f>
        <v>1315174.6153846155</v>
      </c>
      <c r="AI5" s="57">
        <f t="shared" ref="AI5:AI36" si="7">+AH5*$C$1</f>
        <v>5675872784.1230774</v>
      </c>
      <c r="AJ5" s="56"/>
      <c r="AK5" s="56"/>
      <c r="AL5" s="57">
        <f>+SUM(AL6:AL11)</f>
        <v>1315174.6153846155</v>
      </c>
      <c r="AM5" s="57">
        <f t="shared" ref="AM5:AM36" si="8">+AL5*$C$1</f>
        <v>5675872784.1230774</v>
      </c>
    </row>
    <row r="6" spans="1:39" x14ac:dyDescent="0.25">
      <c r="A6" s="51">
        <v>1.01</v>
      </c>
      <c r="B6" s="52" t="s">
        <v>138</v>
      </c>
      <c r="C6" s="53" t="s">
        <v>30</v>
      </c>
      <c r="D6" s="53">
        <v>2943.0288461538462</v>
      </c>
      <c r="E6" s="53">
        <v>72</v>
      </c>
      <c r="F6" s="58">
        <f>+E6*D6</f>
        <v>211898.07692307694</v>
      </c>
      <c r="G6" s="58">
        <f t="shared" si="0"/>
        <v>914484292.6153847</v>
      </c>
      <c r="H6" s="53">
        <v>2943.0288461538462</v>
      </c>
      <c r="I6" s="53">
        <v>72</v>
      </c>
      <c r="J6" s="58">
        <f>+I6*H6</f>
        <v>211898.07692307694</v>
      </c>
      <c r="K6" s="58">
        <f t="shared" si="1"/>
        <v>914484292.6153847</v>
      </c>
      <c r="L6" s="53">
        <v>2943.0288461538462</v>
      </c>
      <c r="M6" s="53">
        <v>72</v>
      </c>
      <c r="N6" s="58">
        <f>+M6*L6</f>
        <v>211898.07692307694</v>
      </c>
      <c r="O6" s="58">
        <f t="shared" si="2"/>
        <v>914484292.6153847</v>
      </c>
      <c r="P6" s="53">
        <v>2675.4807692307691</v>
      </c>
      <c r="Q6" s="53">
        <v>72</v>
      </c>
      <c r="R6" s="58">
        <f>+Q6*P6</f>
        <v>192634.61538461538</v>
      </c>
      <c r="S6" s="58">
        <f t="shared" si="3"/>
        <v>831349356.92307699</v>
      </c>
      <c r="T6" s="53">
        <v>2675.4807692307691</v>
      </c>
      <c r="U6" s="53">
        <v>72</v>
      </c>
      <c r="V6" s="58">
        <f>+U6*T6</f>
        <v>192634.61538461538</v>
      </c>
      <c r="W6" s="58">
        <f t="shared" si="4"/>
        <v>831349356.92307699</v>
      </c>
      <c r="X6" s="53">
        <v>2675.4807692307691</v>
      </c>
      <c r="Y6" s="53">
        <v>72</v>
      </c>
      <c r="Z6" s="58">
        <f>+Y6*X6</f>
        <v>192634.61538461538</v>
      </c>
      <c r="AA6" s="58">
        <f t="shared" si="5"/>
        <v>831349356.92307699</v>
      </c>
      <c r="AB6" s="53">
        <v>2675.4807692307691</v>
      </c>
      <c r="AC6" s="53">
        <v>72</v>
      </c>
      <c r="AD6" s="58">
        <f>+AC6*AB6</f>
        <v>192634.61538461538</v>
      </c>
      <c r="AE6" s="58">
        <f t="shared" si="6"/>
        <v>831349356.92307699</v>
      </c>
      <c r="AF6" s="53">
        <v>2675.4807692307691</v>
      </c>
      <c r="AG6" s="53">
        <v>72</v>
      </c>
      <c r="AH6" s="58">
        <f>+AG6*AF6</f>
        <v>192634.61538461538</v>
      </c>
      <c r="AI6" s="58">
        <f t="shared" si="7"/>
        <v>831349356.92307699</v>
      </c>
      <c r="AJ6" s="53">
        <v>2675.4807692307691</v>
      </c>
      <c r="AK6" s="53">
        <v>72</v>
      </c>
      <c r="AL6" s="58">
        <f>+AK6*AJ6</f>
        <v>192634.61538461538</v>
      </c>
      <c r="AM6" s="58">
        <f t="shared" si="8"/>
        <v>831349356.92307699</v>
      </c>
    </row>
    <row r="7" spans="1:39" ht="27" x14ac:dyDescent="0.25">
      <c r="A7" s="51">
        <v>1.02</v>
      </c>
      <c r="B7" s="52" t="s">
        <v>189</v>
      </c>
      <c r="C7" s="53" t="s">
        <v>128</v>
      </c>
      <c r="D7" s="53">
        <v>186560.00000000003</v>
      </c>
      <c r="E7" s="53">
        <v>1</v>
      </c>
      <c r="F7" s="58">
        <f t="shared" ref="F7:F11" si="9">+E7*D7</f>
        <v>186560.00000000003</v>
      </c>
      <c r="G7" s="58">
        <f t="shared" si="0"/>
        <v>805133260.80000019</v>
      </c>
      <c r="H7" s="53">
        <v>186560.00000000003</v>
      </c>
      <c r="I7" s="53">
        <v>1</v>
      </c>
      <c r="J7" s="58">
        <f t="shared" ref="J7:J11" si="10">+I7*H7</f>
        <v>186560.00000000003</v>
      </c>
      <c r="K7" s="58">
        <f t="shared" si="1"/>
        <v>805133260.80000019</v>
      </c>
      <c r="L7" s="53">
        <v>186560.00000000003</v>
      </c>
      <c r="M7" s="53">
        <v>1</v>
      </c>
      <c r="N7" s="58">
        <f t="shared" ref="N7:N11" si="11">+M7*L7</f>
        <v>186560.00000000003</v>
      </c>
      <c r="O7" s="58">
        <f t="shared" si="2"/>
        <v>805133260.80000019</v>
      </c>
      <c r="P7" s="53">
        <v>169600</v>
      </c>
      <c r="Q7" s="53">
        <v>1</v>
      </c>
      <c r="R7" s="58">
        <f t="shared" ref="R7:R11" si="12">+Q7*P7</f>
        <v>169600</v>
      </c>
      <c r="S7" s="58">
        <f t="shared" si="3"/>
        <v>731939328</v>
      </c>
      <c r="T7" s="53">
        <v>169600</v>
      </c>
      <c r="U7" s="53">
        <v>1</v>
      </c>
      <c r="V7" s="58">
        <f t="shared" ref="V7:V11" si="13">+U7*T7</f>
        <v>169600</v>
      </c>
      <c r="W7" s="58">
        <f t="shared" si="4"/>
        <v>731939328</v>
      </c>
      <c r="X7" s="53">
        <v>169600</v>
      </c>
      <c r="Y7" s="53">
        <v>1</v>
      </c>
      <c r="Z7" s="58">
        <f t="shared" ref="Z7:Z11" si="14">+Y7*X7</f>
        <v>169600</v>
      </c>
      <c r="AA7" s="58">
        <f t="shared" si="5"/>
        <v>731939328</v>
      </c>
      <c r="AB7" s="53">
        <v>169600</v>
      </c>
      <c r="AC7" s="53">
        <v>1</v>
      </c>
      <c r="AD7" s="58">
        <f t="shared" ref="AD7:AD11" si="15">+AC7*AB7</f>
        <v>169600</v>
      </c>
      <c r="AE7" s="58">
        <f t="shared" si="6"/>
        <v>731939328</v>
      </c>
      <c r="AF7" s="53">
        <v>169600</v>
      </c>
      <c r="AG7" s="53">
        <v>1</v>
      </c>
      <c r="AH7" s="58">
        <f t="shared" ref="AH7:AH11" si="16">+AG7*AF7</f>
        <v>169600</v>
      </c>
      <c r="AI7" s="58">
        <f t="shared" si="7"/>
        <v>731939328</v>
      </c>
      <c r="AJ7" s="53">
        <v>169600</v>
      </c>
      <c r="AK7" s="53">
        <v>1</v>
      </c>
      <c r="AL7" s="58">
        <f t="shared" ref="AL7:AL11" si="17">+AK7*AJ7</f>
        <v>169600</v>
      </c>
      <c r="AM7" s="58">
        <f t="shared" si="8"/>
        <v>731939328</v>
      </c>
    </row>
    <row r="8" spans="1:39" ht="18" x14ac:dyDescent="0.25">
      <c r="A8" s="51">
        <v>1.03</v>
      </c>
      <c r="B8" s="52" t="s">
        <v>190</v>
      </c>
      <c r="C8" s="53" t="s">
        <v>30</v>
      </c>
      <c r="D8" s="53">
        <v>6996.0000000000009</v>
      </c>
      <c r="E8" s="53">
        <v>72</v>
      </c>
      <c r="F8" s="58">
        <f t="shared" si="9"/>
        <v>503712.00000000006</v>
      </c>
      <c r="G8" s="58">
        <f t="shared" si="0"/>
        <v>2173859804.1600003</v>
      </c>
      <c r="H8" s="53">
        <v>6996.0000000000009</v>
      </c>
      <c r="I8" s="53">
        <v>72</v>
      </c>
      <c r="J8" s="58">
        <f t="shared" si="10"/>
        <v>503712.00000000006</v>
      </c>
      <c r="K8" s="58">
        <f t="shared" si="1"/>
        <v>2173859804.1600003</v>
      </c>
      <c r="L8" s="53">
        <v>6996.0000000000009</v>
      </c>
      <c r="M8" s="53">
        <v>72</v>
      </c>
      <c r="N8" s="58">
        <f t="shared" si="11"/>
        <v>503712.00000000006</v>
      </c>
      <c r="O8" s="58">
        <f t="shared" si="2"/>
        <v>2173859804.1600003</v>
      </c>
      <c r="P8" s="53">
        <v>6360</v>
      </c>
      <c r="Q8" s="53">
        <v>72</v>
      </c>
      <c r="R8" s="58">
        <f t="shared" si="12"/>
        <v>457920</v>
      </c>
      <c r="S8" s="58">
        <f t="shared" si="3"/>
        <v>1976236185.6000001</v>
      </c>
      <c r="T8" s="53">
        <v>6360</v>
      </c>
      <c r="U8" s="53">
        <v>72</v>
      </c>
      <c r="V8" s="58">
        <f t="shared" si="13"/>
        <v>457920</v>
      </c>
      <c r="W8" s="58">
        <f t="shared" si="4"/>
        <v>1976236185.6000001</v>
      </c>
      <c r="X8" s="53">
        <v>6360</v>
      </c>
      <c r="Y8" s="53">
        <v>72</v>
      </c>
      <c r="Z8" s="58">
        <f t="shared" si="14"/>
        <v>457920</v>
      </c>
      <c r="AA8" s="58">
        <f t="shared" si="5"/>
        <v>1976236185.6000001</v>
      </c>
      <c r="AB8" s="53">
        <v>6360</v>
      </c>
      <c r="AC8" s="53">
        <v>72</v>
      </c>
      <c r="AD8" s="58">
        <f t="shared" si="15"/>
        <v>457920</v>
      </c>
      <c r="AE8" s="58">
        <f t="shared" si="6"/>
        <v>1976236185.6000001</v>
      </c>
      <c r="AF8" s="53">
        <v>6360</v>
      </c>
      <c r="AG8" s="53">
        <v>72</v>
      </c>
      <c r="AH8" s="58">
        <f t="shared" si="16"/>
        <v>457920</v>
      </c>
      <c r="AI8" s="58">
        <f t="shared" si="7"/>
        <v>1976236185.6000001</v>
      </c>
      <c r="AJ8" s="53">
        <v>6360</v>
      </c>
      <c r="AK8" s="53">
        <v>72</v>
      </c>
      <c r="AL8" s="58">
        <f t="shared" si="17"/>
        <v>457920</v>
      </c>
      <c r="AM8" s="58">
        <f t="shared" si="8"/>
        <v>1976236185.6000001</v>
      </c>
    </row>
    <row r="9" spans="1:39" ht="18" x14ac:dyDescent="0.25">
      <c r="A9" s="51">
        <v>1.04</v>
      </c>
      <c r="B9" s="52" t="s">
        <v>191</v>
      </c>
      <c r="C9" s="53" t="s">
        <v>30</v>
      </c>
      <c r="D9" s="53">
        <v>6996.0000000000009</v>
      </c>
      <c r="E9" s="53">
        <v>72</v>
      </c>
      <c r="F9" s="58">
        <f t="shared" si="9"/>
        <v>503712.00000000006</v>
      </c>
      <c r="G9" s="58">
        <f t="shared" si="0"/>
        <v>2173859804.1600003</v>
      </c>
      <c r="H9" s="53">
        <v>6996.0000000000009</v>
      </c>
      <c r="I9" s="53">
        <v>72</v>
      </c>
      <c r="J9" s="58">
        <f t="shared" si="10"/>
        <v>503712.00000000006</v>
      </c>
      <c r="K9" s="58">
        <f t="shared" si="1"/>
        <v>2173859804.1600003</v>
      </c>
      <c r="L9" s="53">
        <v>6996.0000000000009</v>
      </c>
      <c r="M9" s="53">
        <v>72</v>
      </c>
      <c r="N9" s="58">
        <f t="shared" si="11"/>
        <v>503712.00000000006</v>
      </c>
      <c r="O9" s="58">
        <f t="shared" si="2"/>
        <v>2173859804.1600003</v>
      </c>
      <c r="P9" s="53">
        <v>6360</v>
      </c>
      <c r="Q9" s="53">
        <v>72</v>
      </c>
      <c r="R9" s="58">
        <f t="shared" si="12"/>
        <v>457920</v>
      </c>
      <c r="S9" s="58">
        <f t="shared" si="3"/>
        <v>1976236185.6000001</v>
      </c>
      <c r="T9" s="53">
        <v>6360</v>
      </c>
      <c r="U9" s="53">
        <v>72</v>
      </c>
      <c r="V9" s="58">
        <f t="shared" si="13"/>
        <v>457920</v>
      </c>
      <c r="W9" s="58">
        <f t="shared" si="4"/>
        <v>1976236185.6000001</v>
      </c>
      <c r="X9" s="53">
        <v>6360</v>
      </c>
      <c r="Y9" s="53">
        <v>72</v>
      </c>
      <c r="Z9" s="58">
        <f t="shared" si="14"/>
        <v>457920</v>
      </c>
      <c r="AA9" s="58">
        <f t="shared" si="5"/>
        <v>1976236185.6000001</v>
      </c>
      <c r="AB9" s="53">
        <v>6360</v>
      </c>
      <c r="AC9" s="53">
        <v>72</v>
      </c>
      <c r="AD9" s="58">
        <f t="shared" si="15"/>
        <v>457920</v>
      </c>
      <c r="AE9" s="58">
        <f t="shared" si="6"/>
        <v>1976236185.6000001</v>
      </c>
      <c r="AF9" s="53">
        <v>6360</v>
      </c>
      <c r="AG9" s="53">
        <v>72</v>
      </c>
      <c r="AH9" s="58">
        <f t="shared" si="16"/>
        <v>457920</v>
      </c>
      <c r="AI9" s="58">
        <f t="shared" si="7"/>
        <v>1976236185.6000001</v>
      </c>
      <c r="AJ9" s="53">
        <v>6360</v>
      </c>
      <c r="AK9" s="53">
        <v>72</v>
      </c>
      <c r="AL9" s="58">
        <f t="shared" si="17"/>
        <v>457920</v>
      </c>
      <c r="AM9" s="58">
        <f t="shared" si="8"/>
        <v>1976236185.6000001</v>
      </c>
    </row>
    <row r="10" spans="1:39" ht="18" x14ac:dyDescent="0.25">
      <c r="A10" s="51">
        <v>1.05</v>
      </c>
      <c r="B10" s="52" t="s">
        <v>139</v>
      </c>
      <c r="C10" s="53" t="s">
        <v>128</v>
      </c>
      <c r="D10" s="53">
        <v>29150.000000000004</v>
      </c>
      <c r="E10" s="53">
        <v>1</v>
      </c>
      <c r="F10" s="58">
        <f t="shared" si="9"/>
        <v>29150.000000000004</v>
      </c>
      <c r="G10" s="58">
        <f t="shared" si="0"/>
        <v>125802072.00000003</v>
      </c>
      <c r="H10" s="53">
        <v>29150.000000000004</v>
      </c>
      <c r="I10" s="53">
        <v>1</v>
      </c>
      <c r="J10" s="58">
        <f t="shared" si="10"/>
        <v>29150.000000000004</v>
      </c>
      <c r="K10" s="58">
        <f t="shared" si="1"/>
        <v>125802072.00000003</v>
      </c>
      <c r="L10" s="53">
        <v>29150.000000000004</v>
      </c>
      <c r="M10" s="53">
        <v>1</v>
      </c>
      <c r="N10" s="58">
        <f t="shared" si="11"/>
        <v>29150.000000000004</v>
      </c>
      <c r="O10" s="58">
        <f t="shared" si="2"/>
        <v>125802072.00000003</v>
      </c>
      <c r="P10" s="53">
        <v>26500</v>
      </c>
      <c r="Q10" s="53">
        <v>1</v>
      </c>
      <c r="R10" s="58">
        <f t="shared" si="12"/>
        <v>26500</v>
      </c>
      <c r="S10" s="58">
        <f t="shared" si="3"/>
        <v>114365520.00000001</v>
      </c>
      <c r="T10" s="53">
        <v>26500</v>
      </c>
      <c r="U10" s="53">
        <v>1</v>
      </c>
      <c r="V10" s="58">
        <f t="shared" si="13"/>
        <v>26500</v>
      </c>
      <c r="W10" s="58">
        <f t="shared" si="4"/>
        <v>114365520.00000001</v>
      </c>
      <c r="X10" s="53">
        <v>26500</v>
      </c>
      <c r="Y10" s="53">
        <v>1</v>
      </c>
      <c r="Z10" s="58">
        <f t="shared" si="14"/>
        <v>26500</v>
      </c>
      <c r="AA10" s="58">
        <f t="shared" si="5"/>
        <v>114365520.00000001</v>
      </c>
      <c r="AB10" s="53">
        <v>26500</v>
      </c>
      <c r="AC10" s="53">
        <v>1</v>
      </c>
      <c r="AD10" s="58">
        <f t="shared" si="15"/>
        <v>26500</v>
      </c>
      <c r="AE10" s="58">
        <f t="shared" si="6"/>
        <v>114365520.00000001</v>
      </c>
      <c r="AF10" s="53">
        <v>26500</v>
      </c>
      <c r="AG10" s="53">
        <v>1</v>
      </c>
      <c r="AH10" s="58">
        <f t="shared" si="16"/>
        <v>26500</v>
      </c>
      <c r="AI10" s="58">
        <f t="shared" si="7"/>
        <v>114365520.00000001</v>
      </c>
      <c r="AJ10" s="53">
        <v>26500</v>
      </c>
      <c r="AK10" s="53">
        <v>1</v>
      </c>
      <c r="AL10" s="58">
        <f t="shared" si="17"/>
        <v>26500</v>
      </c>
      <c r="AM10" s="58">
        <f t="shared" si="8"/>
        <v>114365520.00000001</v>
      </c>
    </row>
    <row r="11" spans="1:39" x14ac:dyDescent="0.25">
      <c r="A11" s="51">
        <v>1.06</v>
      </c>
      <c r="B11" s="52" t="s">
        <v>11</v>
      </c>
      <c r="C11" s="53" t="s">
        <v>128</v>
      </c>
      <c r="D11" s="53">
        <v>11660.000000000002</v>
      </c>
      <c r="E11" s="53">
        <v>1</v>
      </c>
      <c r="F11" s="58">
        <f t="shared" si="9"/>
        <v>11660.000000000002</v>
      </c>
      <c r="G11" s="58">
        <f t="shared" si="0"/>
        <v>50320828.800000012</v>
      </c>
      <c r="H11" s="53">
        <v>11660.000000000002</v>
      </c>
      <c r="I11" s="53">
        <v>1</v>
      </c>
      <c r="J11" s="58">
        <f t="shared" si="10"/>
        <v>11660.000000000002</v>
      </c>
      <c r="K11" s="58">
        <f t="shared" si="1"/>
        <v>50320828.800000012</v>
      </c>
      <c r="L11" s="53">
        <v>11660.000000000002</v>
      </c>
      <c r="M11" s="53">
        <v>1</v>
      </c>
      <c r="N11" s="58">
        <f t="shared" si="11"/>
        <v>11660.000000000002</v>
      </c>
      <c r="O11" s="58">
        <f t="shared" si="2"/>
        <v>50320828.800000012</v>
      </c>
      <c r="P11" s="53">
        <v>10600</v>
      </c>
      <c r="Q11" s="53">
        <v>1</v>
      </c>
      <c r="R11" s="58">
        <f t="shared" si="12"/>
        <v>10600</v>
      </c>
      <c r="S11" s="58">
        <f t="shared" si="3"/>
        <v>45746208</v>
      </c>
      <c r="T11" s="53">
        <v>10600</v>
      </c>
      <c r="U11" s="53">
        <v>1</v>
      </c>
      <c r="V11" s="58">
        <f t="shared" si="13"/>
        <v>10600</v>
      </c>
      <c r="W11" s="58">
        <f t="shared" si="4"/>
        <v>45746208</v>
      </c>
      <c r="X11" s="53">
        <v>10600</v>
      </c>
      <c r="Y11" s="53">
        <v>1</v>
      </c>
      <c r="Z11" s="58">
        <f t="shared" si="14"/>
        <v>10600</v>
      </c>
      <c r="AA11" s="58">
        <f t="shared" si="5"/>
        <v>45746208</v>
      </c>
      <c r="AB11" s="53">
        <v>10600</v>
      </c>
      <c r="AC11" s="53">
        <v>1</v>
      </c>
      <c r="AD11" s="58">
        <f t="shared" si="15"/>
        <v>10600</v>
      </c>
      <c r="AE11" s="58">
        <f t="shared" si="6"/>
        <v>45746208</v>
      </c>
      <c r="AF11" s="53">
        <v>10600</v>
      </c>
      <c r="AG11" s="53">
        <v>1</v>
      </c>
      <c r="AH11" s="58">
        <f t="shared" si="16"/>
        <v>10600</v>
      </c>
      <c r="AI11" s="58">
        <f t="shared" si="7"/>
        <v>45746208</v>
      </c>
      <c r="AJ11" s="53">
        <v>10600</v>
      </c>
      <c r="AK11" s="53">
        <v>1</v>
      </c>
      <c r="AL11" s="58">
        <f t="shared" si="17"/>
        <v>10600</v>
      </c>
      <c r="AM11" s="58">
        <f t="shared" si="8"/>
        <v>45746208</v>
      </c>
    </row>
    <row r="12" spans="1:39" x14ac:dyDescent="0.25">
      <c r="A12" s="54">
        <v>2</v>
      </c>
      <c r="B12" s="55" t="s">
        <v>3</v>
      </c>
      <c r="C12" s="56"/>
      <c r="D12" s="56"/>
      <c r="E12" s="56"/>
      <c r="F12" s="57">
        <f>+SUM(F13:F17)</f>
        <v>4052163.4292068947</v>
      </c>
      <c r="G12" s="57">
        <f t="shared" si="0"/>
        <v>17487840668.159611</v>
      </c>
      <c r="H12" s="56"/>
      <c r="I12" s="56"/>
      <c r="J12" s="57">
        <f>+SUM(J13:J17)</f>
        <v>4036179.3036074801</v>
      </c>
      <c r="K12" s="57">
        <f t="shared" si="1"/>
        <v>17418858296.992729</v>
      </c>
      <c r="L12" s="56"/>
      <c r="M12" s="56"/>
      <c r="N12" s="57">
        <f>+SUM(N13:N17)</f>
        <v>4062819.5129398378</v>
      </c>
      <c r="O12" s="57">
        <f t="shared" si="2"/>
        <v>17533828915.604198</v>
      </c>
      <c r="P12" s="56"/>
      <c r="Q12" s="56"/>
      <c r="R12" s="57">
        <f>+SUM(R13:R17)</f>
        <v>3007971.9802416586</v>
      </c>
      <c r="S12" s="57">
        <f t="shared" si="3"/>
        <v>12981444515.689322</v>
      </c>
      <c r="T12" s="56"/>
      <c r="U12" s="56"/>
      <c r="V12" s="57">
        <f>+SUM(V13:V17)</f>
        <v>2994305.5528541594</v>
      </c>
      <c r="W12" s="57">
        <f t="shared" si="4"/>
        <v>12922464588.341639</v>
      </c>
      <c r="X12" s="56"/>
      <c r="Y12" s="56"/>
      <c r="Z12" s="57">
        <f>+SUM(Z13:Z17)</f>
        <v>3017082.931833325</v>
      </c>
      <c r="AA12" s="57">
        <f t="shared" si="5"/>
        <v>13020764467.254444</v>
      </c>
      <c r="AB12" s="56"/>
      <c r="AC12" s="56"/>
      <c r="AD12" s="57">
        <f>+SUM(AD13:AD17)</f>
        <v>3021638.4076291579</v>
      </c>
      <c r="AE12" s="57">
        <f t="shared" si="6"/>
        <v>13040424443.037004</v>
      </c>
      <c r="AF12" s="56"/>
      <c r="AG12" s="56"/>
      <c r="AH12" s="57">
        <f>+SUM(AH13:AH17)</f>
        <v>3053526.7381999898</v>
      </c>
      <c r="AI12" s="57">
        <f t="shared" si="7"/>
        <v>13178044273.514933</v>
      </c>
      <c r="AJ12" s="56"/>
      <c r="AK12" s="56"/>
      <c r="AL12" s="57">
        <f>+SUM(AL13:AL17)</f>
        <v>3067193.165587489</v>
      </c>
      <c r="AM12" s="57">
        <f t="shared" si="8"/>
        <v>13237024200.862616</v>
      </c>
    </row>
    <row r="13" spans="1:39" x14ac:dyDescent="0.25">
      <c r="A13" s="51">
        <v>2.0099999999999998</v>
      </c>
      <c r="B13" s="52" t="s">
        <v>140</v>
      </c>
      <c r="C13" s="53" t="s">
        <v>128</v>
      </c>
      <c r="D13" s="53">
        <v>1753756.7516686635</v>
      </c>
      <c r="E13" s="53">
        <v>1</v>
      </c>
      <c r="F13" s="58">
        <f>+E13*D13</f>
        <v>1753756.7516686635</v>
      </c>
      <c r="G13" s="58">
        <f t="shared" si="0"/>
        <v>7568652938.0414181</v>
      </c>
      <c r="H13" s="53">
        <v>1753756.7516686635</v>
      </c>
      <c r="I13" s="53">
        <v>1</v>
      </c>
      <c r="J13" s="58">
        <f>+I13*H13</f>
        <v>1753756.7516686635</v>
      </c>
      <c r="K13" s="58">
        <f t="shared" si="1"/>
        <v>7568652938.0414181</v>
      </c>
      <c r="L13" s="53">
        <v>1753756.7516686635</v>
      </c>
      <c r="M13" s="53">
        <v>1</v>
      </c>
      <c r="N13" s="58">
        <f>+M13*L13</f>
        <v>1753756.7516686635</v>
      </c>
      <c r="O13" s="58">
        <f t="shared" si="2"/>
        <v>7568652938.0414181</v>
      </c>
      <c r="P13" s="53">
        <v>1727163.9</v>
      </c>
      <c r="Q13" s="53">
        <v>1</v>
      </c>
      <c r="R13" s="58">
        <f>+Q13*P13</f>
        <v>1727163.9</v>
      </c>
      <c r="S13" s="58">
        <f t="shared" si="3"/>
        <v>7453886699.9519997</v>
      </c>
      <c r="T13" s="53">
        <v>1727163.9</v>
      </c>
      <c r="U13" s="53">
        <v>1</v>
      </c>
      <c r="V13" s="58">
        <f>+U13*T13</f>
        <v>1727163.9</v>
      </c>
      <c r="W13" s="58">
        <f t="shared" si="4"/>
        <v>7453886699.9519997</v>
      </c>
      <c r="X13" s="53">
        <v>1727163.9</v>
      </c>
      <c r="Y13" s="53">
        <v>1</v>
      </c>
      <c r="Z13" s="58">
        <f>+Y13*X13</f>
        <v>1727163.9</v>
      </c>
      <c r="AA13" s="58">
        <f t="shared" si="5"/>
        <v>7453886699.9519997</v>
      </c>
      <c r="AB13" s="53">
        <v>1727163.9</v>
      </c>
      <c r="AC13" s="53">
        <v>1</v>
      </c>
      <c r="AD13" s="58">
        <f>+AC13*AB13</f>
        <v>1727163.9</v>
      </c>
      <c r="AE13" s="58">
        <f t="shared" si="6"/>
        <v>7453886699.9519997</v>
      </c>
      <c r="AF13" s="53">
        <v>1727163.9</v>
      </c>
      <c r="AG13" s="53">
        <v>1</v>
      </c>
      <c r="AH13" s="58">
        <f>+AG13*AF13</f>
        <v>1727163.9</v>
      </c>
      <c r="AI13" s="58">
        <f t="shared" si="7"/>
        <v>7453886699.9519997</v>
      </c>
      <c r="AJ13" s="53">
        <v>1727163.9</v>
      </c>
      <c r="AK13" s="53">
        <v>1</v>
      </c>
      <c r="AL13" s="58">
        <f>+AK13*AJ13</f>
        <v>1727163.9</v>
      </c>
      <c r="AM13" s="58">
        <f t="shared" si="8"/>
        <v>7453886699.9519997</v>
      </c>
    </row>
    <row r="14" spans="1:39" x14ac:dyDescent="0.25">
      <c r="A14" s="51">
        <v>2.02</v>
      </c>
      <c r="B14" s="52" t="s">
        <v>141</v>
      </c>
      <c r="C14" s="53" t="s">
        <v>128</v>
      </c>
      <c r="D14" s="53">
        <v>1866835.2863540421</v>
      </c>
      <c r="E14" s="53">
        <v>1</v>
      </c>
      <c r="F14" s="58">
        <f t="shared" ref="F14:F17" si="18">+E14*D14</f>
        <v>1866835.2863540421</v>
      </c>
      <c r="G14" s="58">
        <f t="shared" si="0"/>
        <v>8056663708.6124134</v>
      </c>
      <c r="H14" s="53">
        <v>1866835.2863540421</v>
      </c>
      <c r="I14" s="53">
        <v>1</v>
      </c>
      <c r="J14" s="58">
        <f t="shared" ref="J14:J17" si="19">+I14*H14</f>
        <v>1866835.2863540421</v>
      </c>
      <c r="K14" s="58">
        <f t="shared" si="1"/>
        <v>8056663708.6124134</v>
      </c>
      <c r="L14" s="53">
        <v>1866835.2863540421</v>
      </c>
      <c r="M14" s="53">
        <v>1</v>
      </c>
      <c r="N14" s="58">
        <f t="shared" ref="N14:N17" si="20">+M14*L14</f>
        <v>1866835.2863540421</v>
      </c>
      <c r="O14" s="58">
        <f t="shared" si="2"/>
        <v>8056663708.6124134</v>
      </c>
      <c r="P14" s="53">
        <v>1107700.0000000002</v>
      </c>
      <c r="Q14" s="53">
        <v>1</v>
      </c>
      <c r="R14" s="58">
        <f t="shared" ref="R14:R17" si="21">+Q14*P14</f>
        <v>1107700.0000000002</v>
      </c>
      <c r="S14" s="58">
        <f t="shared" si="3"/>
        <v>4780478736.000001</v>
      </c>
      <c r="T14" s="53">
        <v>1107700.0000000002</v>
      </c>
      <c r="U14" s="53">
        <v>1</v>
      </c>
      <c r="V14" s="58">
        <f t="shared" ref="V14:V17" si="22">+U14*T14</f>
        <v>1107700.0000000002</v>
      </c>
      <c r="W14" s="58">
        <f t="shared" si="4"/>
        <v>4780478736.000001</v>
      </c>
      <c r="X14" s="53">
        <v>1107700.0000000002</v>
      </c>
      <c r="Y14" s="53">
        <v>1</v>
      </c>
      <c r="Z14" s="58">
        <f t="shared" ref="Z14:Z17" si="23">+Y14*X14</f>
        <v>1107700.0000000002</v>
      </c>
      <c r="AA14" s="58">
        <f t="shared" si="5"/>
        <v>4780478736.000001</v>
      </c>
      <c r="AB14" s="53">
        <v>1107700.0000000002</v>
      </c>
      <c r="AC14" s="53">
        <v>1</v>
      </c>
      <c r="AD14" s="58">
        <f t="shared" ref="AD14:AD17" si="24">+AC14*AB14</f>
        <v>1107700.0000000002</v>
      </c>
      <c r="AE14" s="58">
        <f t="shared" si="6"/>
        <v>4780478736.000001</v>
      </c>
      <c r="AF14" s="53">
        <v>1107700.0000000002</v>
      </c>
      <c r="AG14" s="53">
        <v>1</v>
      </c>
      <c r="AH14" s="58">
        <f t="shared" ref="AH14:AH17" si="25">+AG14*AF14</f>
        <v>1107700.0000000002</v>
      </c>
      <c r="AI14" s="58">
        <f t="shared" si="7"/>
        <v>4780478736.000001</v>
      </c>
      <c r="AJ14" s="53">
        <v>1107700.0000000002</v>
      </c>
      <c r="AK14" s="53">
        <v>1</v>
      </c>
      <c r="AL14" s="58">
        <f t="shared" ref="AL14:AL17" si="26">+AK14*AJ14</f>
        <v>1107700.0000000002</v>
      </c>
      <c r="AM14" s="58">
        <f t="shared" si="8"/>
        <v>4780478736.000001</v>
      </c>
    </row>
    <row r="15" spans="1:39" ht="18" x14ac:dyDescent="0.25">
      <c r="A15" s="51">
        <v>2.0299999999999998</v>
      </c>
      <c r="B15" s="52" t="s">
        <v>142</v>
      </c>
      <c r="C15" s="53" t="s">
        <v>5</v>
      </c>
      <c r="D15" s="53">
        <v>2720635.9826287865</v>
      </c>
      <c r="E15" s="53">
        <v>0</v>
      </c>
      <c r="F15" s="58">
        <f t="shared" si="18"/>
        <v>0</v>
      </c>
      <c r="G15" s="58">
        <f t="shared" si="0"/>
        <v>0</v>
      </c>
      <c r="H15" s="53">
        <v>2720635.9826287865</v>
      </c>
      <c r="I15" s="53">
        <v>0</v>
      </c>
      <c r="J15" s="58">
        <f t="shared" si="19"/>
        <v>0</v>
      </c>
      <c r="K15" s="58">
        <f t="shared" si="1"/>
        <v>0</v>
      </c>
      <c r="L15" s="53">
        <v>2720635.9826287865</v>
      </c>
      <c r="M15" s="53">
        <v>0</v>
      </c>
      <c r="N15" s="58">
        <f t="shared" si="20"/>
        <v>0</v>
      </c>
      <c r="O15" s="58">
        <f t="shared" si="2"/>
        <v>0</v>
      </c>
      <c r="P15" s="53">
        <v>1855000</v>
      </c>
      <c r="Q15" s="53">
        <v>0</v>
      </c>
      <c r="R15" s="58">
        <f t="shared" si="21"/>
        <v>0</v>
      </c>
      <c r="S15" s="58">
        <f t="shared" si="3"/>
        <v>0</v>
      </c>
      <c r="T15" s="53">
        <v>1855000</v>
      </c>
      <c r="U15" s="53">
        <v>0</v>
      </c>
      <c r="V15" s="58">
        <f t="shared" si="22"/>
        <v>0</v>
      </c>
      <c r="W15" s="58">
        <f t="shared" si="4"/>
        <v>0</v>
      </c>
      <c r="X15" s="53">
        <v>1855000</v>
      </c>
      <c r="Y15" s="53">
        <v>0</v>
      </c>
      <c r="Z15" s="58">
        <f t="shared" si="23"/>
        <v>0</v>
      </c>
      <c r="AA15" s="58">
        <f t="shared" si="5"/>
        <v>0</v>
      </c>
      <c r="AB15" s="53">
        <v>1855000</v>
      </c>
      <c r="AC15" s="53">
        <v>0</v>
      </c>
      <c r="AD15" s="58">
        <f t="shared" si="24"/>
        <v>0</v>
      </c>
      <c r="AE15" s="58">
        <f t="shared" si="6"/>
        <v>0</v>
      </c>
      <c r="AF15" s="53">
        <v>1855000</v>
      </c>
      <c r="AG15" s="53">
        <v>0</v>
      </c>
      <c r="AH15" s="58">
        <f t="shared" si="25"/>
        <v>0</v>
      </c>
      <c r="AI15" s="58">
        <f t="shared" si="7"/>
        <v>0</v>
      </c>
      <c r="AJ15" s="53">
        <v>1855000</v>
      </c>
      <c r="AK15" s="53">
        <v>0</v>
      </c>
      <c r="AL15" s="58">
        <f t="shared" si="26"/>
        <v>0</v>
      </c>
      <c r="AM15" s="58">
        <f t="shared" si="8"/>
        <v>0</v>
      </c>
    </row>
    <row r="16" spans="1:39" ht="18" x14ac:dyDescent="0.25">
      <c r="A16" s="51">
        <v>2.04</v>
      </c>
      <c r="B16" s="52" t="s">
        <v>143</v>
      </c>
      <c r="C16" s="53" t="s">
        <v>5</v>
      </c>
      <c r="D16" s="53">
        <v>585025.24388156761</v>
      </c>
      <c r="E16" s="53">
        <v>0</v>
      </c>
      <c r="F16" s="58">
        <f t="shared" si="18"/>
        <v>0</v>
      </c>
      <c r="G16" s="58">
        <f t="shared" si="0"/>
        <v>0</v>
      </c>
      <c r="H16" s="53">
        <v>585025.24388156761</v>
      </c>
      <c r="I16" s="53">
        <v>0</v>
      </c>
      <c r="J16" s="58">
        <f t="shared" si="19"/>
        <v>0</v>
      </c>
      <c r="K16" s="58">
        <f t="shared" si="1"/>
        <v>0</v>
      </c>
      <c r="L16" s="53">
        <v>585025.24388156761</v>
      </c>
      <c r="M16" s="53">
        <v>0</v>
      </c>
      <c r="N16" s="58">
        <f t="shared" si="20"/>
        <v>0</v>
      </c>
      <c r="O16" s="58">
        <f t="shared" si="2"/>
        <v>0</v>
      </c>
      <c r="P16" s="53">
        <v>379480</v>
      </c>
      <c r="Q16" s="53">
        <v>0</v>
      </c>
      <c r="R16" s="58">
        <f t="shared" si="21"/>
        <v>0</v>
      </c>
      <c r="S16" s="58">
        <f t="shared" si="3"/>
        <v>0</v>
      </c>
      <c r="T16" s="53">
        <v>379480</v>
      </c>
      <c r="U16" s="53">
        <v>0</v>
      </c>
      <c r="V16" s="58">
        <f t="shared" si="22"/>
        <v>0</v>
      </c>
      <c r="W16" s="58">
        <f t="shared" si="4"/>
        <v>0</v>
      </c>
      <c r="X16" s="53">
        <v>379480</v>
      </c>
      <c r="Y16" s="53">
        <v>0</v>
      </c>
      <c r="Z16" s="58">
        <f t="shared" si="23"/>
        <v>0</v>
      </c>
      <c r="AA16" s="58">
        <f t="shared" si="5"/>
        <v>0</v>
      </c>
      <c r="AB16" s="53">
        <v>379480</v>
      </c>
      <c r="AC16" s="53">
        <v>0</v>
      </c>
      <c r="AD16" s="58">
        <f t="shared" si="24"/>
        <v>0</v>
      </c>
      <c r="AE16" s="58">
        <f t="shared" si="6"/>
        <v>0</v>
      </c>
      <c r="AF16" s="53">
        <v>379480</v>
      </c>
      <c r="AG16" s="53">
        <v>0</v>
      </c>
      <c r="AH16" s="58">
        <f t="shared" si="25"/>
        <v>0</v>
      </c>
      <c r="AI16" s="58">
        <f t="shared" si="7"/>
        <v>0</v>
      </c>
      <c r="AJ16" s="53">
        <v>379480</v>
      </c>
      <c r="AK16" s="53">
        <v>0</v>
      </c>
      <c r="AL16" s="58">
        <f t="shared" si="26"/>
        <v>0</v>
      </c>
      <c r="AM16" s="58">
        <f t="shared" si="8"/>
        <v>0</v>
      </c>
    </row>
    <row r="17" spans="1:39" ht="27" x14ac:dyDescent="0.25">
      <c r="A17" s="51">
        <v>2.0499999999999998</v>
      </c>
      <c r="B17" s="52" t="s">
        <v>152</v>
      </c>
      <c r="C17" s="53" t="s">
        <v>75</v>
      </c>
      <c r="D17" s="53">
        <v>5328.0418664714725</v>
      </c>
      <c r="E17" s="53">
        <v>81</v>
      </c>
      <c r="F17" s="58">
        <f t="shared" si="18"/>
        <v>431571.3911841893</v>
      </c>
      <c r="G17" s="58">
        <f t="shared" si="0"/>
        <v>1862524021.5057821</v>
      </c>
      <c r="H17" s="53">
        <v>5328.0418664714725</v>
      </c>
      <c r="I17" s="53">
        <v>78</v>
      </c>
      <c r="J17" s="58">
        <f t="shared" si="19"/>
        <v>415587.26558477484</v>
      </c>
      <c r="K17" s="58">
        <f t="shared" si="1"/>
        <v>1793541650.3389013</v>
      </c>
      <c r="L17" s="53">
        <v>5328.0418664714725</v>
      </c>
      <c r="M17" s="53">
        <v>83</v>
      </c>
      <c r="N17" s="58">
        <f t="shared" si="20"/>
        <v>442227.47491713223</v>
      </c>
      <c r="O17" s="58">
        <f t="shared" si="2"/>
        <v>1908512268.9503694</v>
      </c>
      <c r="P17" s="53">
        <v>4555.4757958331084</v>
      </c>
      <c r="Q17" s="53">
        <v>38</v>
      </c>
      <c r="R17" s="58">
        <f t="shared" si="21"/>
        <v>173108.08024165811</v>
      </c>
      <c r="S17" s="58">
        <f t="shared" si="3"/>
        <v>747079079.73731911</v>
      </c>
      <c r="T17" s="53">
        <v>4555.4757958331084</v>
      </c>
      <c r="U17" s="53">
        <v>35</v>
      </c>
      <c r="V17" s="58">
        <f t="shared" si="22"/>
        <v>159441.6528541588</v>
      </c>
      <c r="W17" s="58">
        <f t="shared" si="4"/>
        <v>688099152.38963616</v>
      </c>
      <c r="X17" s="53">
        <v>4555.4757958331084</v>
      </c>
      <c r="Y17" s="53">
        <v>40</v>
      </c>
      <c r="Z17" s="58">
        <f t="shared" si="23"/>
        <v>182219.03183332435</v>
      </c>
      <c r="AA17" s="58">
        <f t="shared" si="5"/>
        <v>786399031.30244124</v>
      </c>
      <c r="AB17" s="53">
        <v>4555.4757958331084</v>
      </c>
      <c r="AC17" s="53">
        <v>41</v>
      </c>
      <c r="AD17" s="58">
        <f t="shared" si="24"/>
        <v>186774.50762915745</v>
      </c>
      <c r="AE17" s="58">
        <f t="shared" si="6"/>
        <v>806059007.0850023</v>
      </c>
      <c r="AF17" s="53">
        <v>4555.4757958331084</v>
      </c>
      <c r="AG17" s="53">
        <v>48</v>
      </c>
      <c r="AH17" s="58">
        <f t="shared" si="25"/>
        <v>218662.8381999892</v>
      </c>
      <c r="AI17" s="58">
        <f t="shared" si="7"/>
        <v>943678837.56292951</v>
      </c>
      <c r="AJ17" s="53">
        <v>4555.4757958331084</v>
      </c>
      <c r="AK17" s="53">
        <v>51</v>
      </c>
      <c r="AL17" s="58">
        <f t="shared" si="26"/>
        <v>232329.26558748854</v>
      </c>
      <c r="AM17" s="58">
        <f t="shared" si="8"/>
        <v>1002658764.9106126</v>
      </c>
    </row>
    <row r="18" spans="1:39" x14ac:dyDescent="0.25">
      <c r="A18" s="54">
        <v>3</v>
      </c>
      <c r="B18" s="55" t="s">
        <v>12</v>
      </c>
      <c r="C18" s="56"/>
      <c r="D18" s="56"/>
      <c r="E18" s="56"/>
      <c r="F18" s="57">
        <f>+SUM(F19:F23)</f>
        <v>2128581.947872668</v>
      </c>
      <c r="G18" s="57">
        <f t="shared" si="0"/>
        <v>9186278540.7951164</v>
      </c>
      <c r="H18" s="56"/>
      <c r="I18" s="56"/>
      <c r="J18" s="57">
        <f>+SUM(J19:J23)</f>
        <v>2128581.947872668</v>
      </c>
      <c r="K18" s="57">
        <f t="shared" si="1"/>
        <v>9186278540.7951164</v>
      </c>
      <c r="L18" s="56"/>
      <c r="M18" s="56"/>
      <c r="N18" s="57">
        <f>+SUM(N19:N23)</f>
        <v>2128581.947872668</v>
      </c>
      <c r="O18" s="57">
        <f t="shared" si="2"/>
        <v>9186278540.7951164</v>
      </c>
      <c r="P18" s="56"/>
      <c r="Q18" s="56"/>
      <c r="R18" s="57">
        <f>+SUM(R19:R23)</f>
        <v>1896405.4</v>
      </c>
      <c r="S18" s="57">
        <f t="shared" si="3"/>
        <v>8184278856.6719999</v>
      </c>
      <c r="T18" s="56"/>
      <c r="U18" s="56"/>
      <c r="V18" s="57">
        <f>+SUM(V19:V23)</f>
        <v>1896405.4</v>
      </c>
      <c r="W18" s="57">
        <f t="shared" si="4"/>
        <v>8184278856.6719999</v>
      </c>
      <c r="X18" s="56"/>
      <c r="Y18" s="56"/>
      <c r="Z18" s="57">
        <f>+SUM(Z19:Z23)</f>
        <v>1896405.4</v>
      </c>
      <c r="AA18" s="57">
        <f t="shared" si="5"/>
        <v>8184278856.6719999</v>
      </c>
      <c r="AB18" s="56"/>
      <c r="AC18" s="56"/>
      <c r="AD18" s="57">
        <f>+SUM(AD19:AD23)</f>
        <v>1896405.4</v>
      </c>
      <c r="AE18" s="57">
        <f t="shared" si="6"/>
        <v>8184278856.6719999</v>
      </c>
      <c r="AF18" s="56"/>
      <c r="AG18" s="56"/>
      <c r="AH18" s="57">
        <f>+SUM(AH19:AH23)</f>
        <v>1896405.4</v>
      </c>
      <c r="AI18" s="57">
        <f t="shared" si="7"/>
        <v>8184278856.6719999</v>
      </c>
      <c r="AJ18" s="56"/>
      <c r="AK18" s="56"/>
      <c r="AL18" s="57">
        <f>+SUM(AL19:AL23)</f>
        <v>1896405.4</v>
      </c>
      <c r="AM18" s="57">
        <f t="shared" si="8"/>
        <v>8184278856.6719999</v>
      </c>
    </row>
    <row r="19" spans="1:39" ht="18" x14ac:dyDescent="0.25">
      <c r="A19" s="51">
        <v>3.01</v>
      </c>
      <c r="B19" s="52" t="s">
        <v>145</v>
      </c>
      <c r="C19" s="53" t="s">
        <v>128</v>
      </c>
      <c r="D19" s="53">
        <v>1109846.0436990131</v>
      </c>
      <c r="E19" s="53">
        <v>1</v>
      </c>
      <c r="F19" s="58">
        <f>+E19*D19</f>
        <v>1109846.0436990131</v>
      </c>
      <c r="G19" s="58">
        <f t="shared" si="0"/>
        <v>4789740373.8709574</v>
      </c>
      <c r="H19" s="53">
        <v>1109846.0436990131</v>
      </c>
      <c r="I19" s="53">
        <v>1</v>
      </c>
      <c r="J19" s="58">
        <f>+I19*H19</f>
        <v>1109846.0436990131</v>
      </c>
      <c r="K19" s="58">
        <f t="shared" si="1"/>
        <v>4789740373.8709574</v>
      </c>
      <c r="L19" s="53">
        <v>1109846.0436990131</v>
      </c>
      <c r="M19" s="53">
        <v>1</v>
      </c>
      <c r="N19" s="58">
        <f>+M19*L19</f>
        <v>1109846.0436990131</v>
      </c>
      <c r="O19" s="58">
        <f t="shared" si="2"/>
        <v>4789740373.8709574</v>
      </c>
      <c r="P19" s="53">
        <v>961950</v>
      </c>
      <c r="Q19" s="53">
        <v>1</v>
      </c>
      <c r="R19" s="58">
        <f>+Q19*P19</f>
        <v>961950</v>
      </c>
      <c r="S19" s="58">
        <f t="shared" si="3"/>
        <v>4151468376.0000005</v>
      </c>
      <c r="T19" s="53">
        <v>961950</v>
      </c>
      <c r="U19" s="53">
        <v>1</v>
      </c>
      <c r="V19" s="58">
        <f>+U19*T19</f>
        <v>961950</v>
      </c>
      <c r="W19" s="58">
        <f t="shared" si="4"/>
        <v>4151468376.0000005</v>
      </c>
      <c r="X19" s="53">
        <v>961950</v>
      </c>
      <c r="Y19" s="53">
        <v>1</v>
      </c>
      <c r="Z19" s="58">
        <f>+Y19*X19</f>
        <v>961950</v>
      </c>
      <c r="AA19" s="58">
        <f t="shared" si="5"/>
        <v>4151468376.0000005</v>
      </c>
      <c r="AB19" s="53">
        <v>961950</v>
      </c>
      <c r="AC19" s="53">
        <v>1</v>
      </c>
      <c r="AD19" s="58">
        <f>+AC19*AB19</f>
        <v>961950</v>
      </c>
      <c r="AE19" s="58">
        <f t="shared" si="6"/>
        <v>4151468376.0000005</v>
      </c>
      <c r="AF19" s="53">
        <v>961950</v>
      </c>
      <c r="AG19" s="53">
        <v>1</v>
      </c>
      <c r="AH19" s="58">
        <f>+AG19*AF19</f>
        <v>961950</v>
      </c>
      <c r="AI19" s="58">
        <f t="shared" si="7"/>
        <v>4151468376.0000005</v>
      </c>
      <c r="AJ19" s="53">
        <v>961950</v>
      </c>
      <c r="AK19" s="53">
        <v>1</v>
      </c>
      <c r="AL19" s="58">
        <f>+AK19*AJ19</f>
        <v>961950</v>
      </c>
      <c r="AM19" s="58">
        <f t="shared" si="8"/>
        <v>4151468376.0000005</v>
      </c>
    </row>
    <row r="20" spans="1:39" x14ac:dyDescent="0.25">
      <c r="A20" s="51">
        <v>3.02</v>
      </c>
      <c r="B20" s="52" t="s">
        <v>18</v>
      </c>
      <c r="C20" s="53" t="s">
        <v>128</v>
      </c>
      <c r="D20" s="53">
        <v>408100.00000000006</v>
      </c>
      <c r="E20" s="53">
        <v>1</v>
      </c>
      <c r="F20" s="58">
        <f t="shared" ref="F20:F23" si="27">+E20*D20</f>
        <v>408100.00000000006</v>
      </c>
      <c r="G20" s="58">
        <f t="shared" si="0"/>
        <v>1761229008.0000005</v>
      </c>
      <c r="H20" s="53">
        <v>408100.00000000006</v>
      </c>
      <c r="I20" s="53">
        <v>1</v>
      </c>
      <c r="J20" s="58">
        <f t="shared" ref="J20:J23" si="28">+I20*H20</f>
        <v>408100.00000000006</v>
      </c>
      <c r="K20" s="58">
        <f t="shared" si="1"/>
        <v>1761229008.0000005</v>
      </c>
      <c r="L20" s="53">
        <v>408100.00000000006</v>
      </c>
      <c r="M20" s="53">
        <v>1</v>
      </c>
      <c r="N20" s="58">
        <f t="shared" ref="N20:N23" si="29">+M20*L20</f>
        <v>408100.00000000006</v>
      </c>
      <c r="O20" s="58">
        <f t="shared" si="2"/>
        <v>1761229008.0000005</v>
      </c>
      <c r="P20" s="53">
        <v>371000</v>
      </c>
      <c r="Q20" s="53">
        <v>1</v>
      </c>
      <c r="R20" s="58">
        <f t="shared" ref="R20:R23" si="30">+Q20*P20</f>
        <v>371000</v>
      </c>
      <c r="S20" s="58">
        <f t="shared" si="3"/>
        <v>1601117280</v>
      </c>
      <c r="T20" s="53">
        <v>371000</v>
      </c>
      <c r="U20" s="53">
        <v>1</v>
      </c>
      <c r="V20" s="58">
        <f t="shared" ref="V20:V23" si="31">+U20*T20</f>
        <v>371000</v>
      </c>
      <c r="W20" s="58">
        <f t="shared" si="4"/>
        <v>1601117280</v>
      </c>
      <c r="X20" s="53">
        <v>371000</v>
      </c>
      <c r="Y20" s="53">
        <v>1</v>
      </c>
      <c r="Z20" s="58">
        <f t="shared" ref="Z20:Z23" si="32">+Y20*X20</f>
        <v>371000</v>
      </c>
      <c r="AA20" s="58">
        <f t="shared" si="5"/>
        <v>1601117280</v>
      </c>
      <c r="AB20" s="53">
        <v>371000</v>
      </c>
      <c r="AC20" s="53">
        <v>1</v>
      </c>
      <c r="AD20" s="58">
        <f t="shared" ref="AD20:AD23" si="33">+AC20*AB20</f>
        <v>371000</v>
      </c>
      <c r="AE20" s="58">
        <f t="shared" si="6"/>
        <v>1601117280</v>
      </c>
      <c r="AF20" s="53">
        <v>371000</v>
      </c>
      <c r="AG20" s="53">
        <v>1</v>
      </c>
      <c r="AH20" s="58">
        <f t="shared" ref="AH20:AH23" si="34">+AG20*AF20</f>
        <v>371000</v>
      </c>
      <c r="AI20" s="58">
        <f t="shared" si="7"/>
        <v>1601117280</v>
      </c>
      <c r="AJ20" s="53">
        <v>371000</v>
      </c>
      <c r="AK20" s="53">
        <v>1</v>
      </c>
      <c r="AL20" s="58">
        <f t="shared" ref="AL20:AL23" si="35">+AK20*AJ20</f>
        <v>371000</v>
      </c>
      <c r="AM20" s="58">
        <f t="shared" si="8"/>
        <v>1601117280</v>
      </c>
    </row>
    <row r="21" spans="1:39" ht="18" x14ac:dyDescent="0.25">
      <c r="A21" s="51">
        <v>3.03</v>
      </c>
      <c r="B21" s="52" t="s">
        <v>144</v>
      </c>
      <c r="C21" s="53" t="s">
        <v>128</v>
      </c>
      <c r="D21" s="53">
        <v>265251.96417365514</v>
      </c>
      <c r="E21" s="53">
        <v>1</v>
      </c>
      <c r="F21" s="58">
        <f t="shared" si="27"/>
        <v>265251.96417365514</v>
      </c>
      <c r="G21" s="58">
        <f t="shared" si="0"/>
        <v>1144742596.7449601</v>
      </c>
      <c r="H21" s="53">
        <v>265251.96417365514</v>
      </c>
      <c r="I21" s="53">
        <v>1</v>
      </c>
      <c r="J21" s="58">
        <f t="shared" si="28"/>
        <v>265251.96417365514</v>
      </c>
      <c r="K21" s="58">
        <f t="shared" si="1"/>
        <v>1144742596.7449601</v>
      </c>
      <c r="L21" s="53">
        <v>265251.96417365514</v>
      </c>
      <c r="M21" s="53">
        <v>1</v>
      </c>
      <c r="N21" s="58">
        <f t="shared" si="29"/>
        <v>265251.96417365514</v>
      </c>
      <c r="O21" s="58">
        <f t="shared" si="2"/>
        <v>1144742596.7449601</v>
      </c>
      <c r="P21" s="53">
        <v>249470</v>
      </c>
      <c r="Q21" s="53">
        <v>1</v>
      </c>
      <c r="R21" s="58">
        <f t="shared" si="30"/>
        <v>249470</v>
      </c>
      <c r="S21" s="58">
        <f t="shared" si="3"/>
        <v>1076632689.6000001</v>
      </c>
      <c r="T21" s="53">
        <v>249470</v>
      </c>
      <c r="U21" s="53">
        <v>1</v>
      </c>
      <c r="V21" s="58">
        <f t="shared" si="31"/>
        <v>249470</v>
      </c>
      <c r="W21" s="58">
        <f t="shared" si="4"/>
        <v>1076632689.6000001</v>
      </c>
      <c r="X21" s="53">
        <v>249470</v>
      </c>
      <c r="Y21" s="53">
        <v>1</v>
      </c>
      <c r="Z21" s="58">
        <f t="shared" si="32"/>
        <v>249470</v>
      </c>
      <c r="AA21" s="58">
        <f t="shared" si="5"/>
        <v>1076632689.6000001</v>
      </c>
      <c r="AB21" s="53">
        <v>249470</v>
      </c>
      <c r="AC21" s="53">
        <v>1</v>
      </c>
      <c r="AD21" s="58">
        <f t="shared" si="33"/>
        <v>249470</v>
      </c>
      <c r="AE21" s="58">
        <f t="shared" si="6"/>
        <v>1076632689.6000001</v>
      </c>
      <c r="AF21" s="53">
        <v>249470</v>
      </c>
      <c r="AG21" s="53">
        <v>1</v>
      </c>
      <c r="AH21" s="58">
        <f t="shared" si="34"/>
        <v>249470</v>
      </c>
      <c r="AI21" s="58">
        <f t="shared" si="7"/>
        <v>1076632689.6000001</v>
      </c>
      <c r="AJ21" s="53">
        <v>249470</v>
      </c>
      <c r="AK21" s="53">
        <v>1</v>
      </c>
      <c r="AL21" s="58">
        <f t="shared" si="35"/>
        <v>249470</v>
      </c>
      <c r="AM21" s="58">
        <f t="shared" si="8"/>
        <v>1076632689.6000001</v>
      </c>
    </row>
    <row r="22" spans="1:39" x14ac:dyDescent="0.25">
      <c r="A22" s="51">
        <v>3.04</v>
      </c>
      <c r="B22" s="52" t="s">
        <v>17</v>
      </c>
      <c r="C22" s="53" t="s">
        <v>128</v>
      </c>
      <c r="D22" s="53">
        <v>95326.44</v>
      </c>
      <c r="E22" s="53">
        <v>1</v>
      </c>
      <c r="F22" s="58">
        <f t="shared" si="27"/>
        <v>95326.44</v>
      </c>
      <c r="G22" s="58">
        <f t="shared" si="0"/>
        <v>411398410.57920003</v>
      </c>
      <c r="H22" s="53">
        <v>95326.44</v>
      </c>
      <c r="I22" s="53">
        <v>1</v>
      </c>
      <c r="J22" s="58">
        <f t="shared" si="28"/>
        <v>95326.44</v>
      </c>
      <c r="K22" s="58">
        <f t="shared" si="1"/>
        <v>411398410.57920003</v>
      </c>
      <c r="L22" s="53">
        <v>95326.44</v>
      </c>
      <c r="M22" s="53">
        <v>1</v>
      </c>
      <c r="N22" s="58">
        <f t="shared" si="29"/>
        <v>95326.44</v>
      </c>
      <c r="O22" s="58">
        <f t="shared" si="2"/>
        <v>411398410.57920003</v>
      </c>
      <c r="P22" s="53">
        <v>86660.4</v>
      </c>
      <c r="Q22" s="53">
        <v>1</v>
      </c>
      <c r="R22" s="58">
        <f t="shared" si="30"/>
        <v>86660.4</v>
      </c>
      <c r="S22" s="58">
        <f t="shared" si="3"/>
        <v>373998555.07200003</v>
      </c>
      <c r="T22" s="53">
        <v>86660.4</v>
      </c>
      <c r="U22" s="53">
        <v>1</v>
      </c>
      <c r="V22" s="58">
        <f t="shared" si="31"/>
        <v>86660.4</v>
      </c>
      <c r="W22" s="58">
        <f t="shared" si="4"/>
        <v>373998555.07200003</v>
      </c>
      <c r="X22" s="53">
        <v>86660.4</v>
      </c>
      <c r="Y22" s="53">
        <v>1</v>
      </c>
      <c r="Z22" s="58">
        <f t="shared" si="32"/>
        <v>86660.4</v>
      </c>
      <c r="AA22" s="58">
        <f t="shared" si="5"/>
        <v>373998555.07200003</v>
      </c>
      <c r="AB22" s="53">
        <v>86660.4</v>
      </c>
      <c r="AC22" s="53">
        <v>1</v>
      </c>
      <c r="AD22" s="58">
        <f t="shared" si="33"/>
        <v>86660.4</v>
      </c>
      <c r="AE22" s="58">
        <f t="shared" si="6"/>
        <v>373998555.07200003</v>
      </c>
      <c r="AF22" s="53">
        <v>86660.4</v>
      </c>
      <c r="AG22" s="53">
        <v>1</v>
      </c>
      <c r="AH22" s="58">
        <f t="shared" si="34"/>
        <v>86660.4</v>
      </c>
      <c r="AI22" s="58">
        <f t="shared" si="7"/>
        <v>373998555.07200003</v>
      </c>
      <c r="AJ22" s="53">
        <v>86660.4</v>
      </c>
      <c r="AK22" s="53">
        <v>1</v>
      </c>
      <c r="AL22" s="58">
        <f t="shared" si="35"/>
        <v>86660.4</v>
      </c>
      <c r="AM22" s="58">
        <f t="shared" si="8"/>
        <v>373998555.07200003</v>
      </c>
    </row>
    <row r="23" spans="1:39" x14ac:dyDescent="0.25">
      <c r="A23" s="51">
        <v>3.05</v>
      </c>
      <c r="B23" s="52" t="s">
        <v>0</v>
      </c>
      <c r="C23" s="53" t="s">
        <v>128</v>
      </c>
      <c r="D23" s="53">
        <v>250057.50000000003</v>
      </c>
      <c r="E23" s="53">
        <v>1</v>
      </c>
      <c r="F23" s="58">
        <f t="shared" si="27"/>
        <v>250057.50000000003</v>
      </c>
      <c r="G23" s="58">
        <f t="shared" si="0"/>
        <v>1079168151.6000001</v>
      </c>
      <c r="H23" s="53">
        <v>250057.50000000003</v>
      </c>
      <c r="I23" s="53">
        <v>1</v>
      </c>
      <c r="J23" s="58">
        <f t="shared" si="28"/>
        <v>250057.50000000003</v>
      </c>
      <c r="K23" s="58">
        <f t="shared" si="1"/>
        <v>1079168151.6000001</v>
      </c>
      <c r="L23" s="53">
        <v>250057.50000000003</v>
      </c>
      <c r="M23" s="53">
        <v>1</v>
      </c>
      <c r="N23" s="58">
        <f t="shared" si="29"/>
        <v>250057.50000000003</v>
      </c>
      <c r="O23" s="58">
        <f t="shared" si="2"/>
        <v>1079168151.6000001</v>
      </c>
      <c r="P23" s="53">
        <v>227325</v>
      </c>
      <c r="Q23" s="53">
        <v>1</v>
      </c>
      <c r="R23" s="58">
        <f t="shared" si="30"/>
        <v>227325</v>
      </c>
      <c r="S23" s="58">
        <f t="shared" si="3"/>
        <v>981061956.00000012</v>
      </c>
      <c r="T23" s="53">
        <v>227325</v>
      </c>
      <c r="U23" s="53">
        <v>1</v>
      </c>
      <c r="V23" s="58">
        <f t="shared" si="31"/>
        <v>227325</v>
      </c>
      <c r="W23" s="58">
        <f t="shared" si="4"/>
        <v>981061956.00000012</v>
      </c>
      <c r="X23" s="53">
        <v>227325</v>
      </c>
      <c r="Y23" s="53">
        <v>1</v>
      </c>
      <c r="Z23" s="58">
        <f t="shared" si="32"/>
        <v>227325</v>
      </c>
      <c r="AA23" s="58">
        <f t="shared" si="5"/>
        <v>981061956.00000012</v>
      </c>
      <c r="AB23" s="53">
        <v>227325</v>
      </c>
      <c r="AC23" s="53">
        <v>1</v>
      </c>
      <c r="AD23" s="58">
        <f t="shared" si="33"/>
        <v>227325</v>
      </c>
      <c r="AE23" s="58">
        <f t="shared" si="6"/>
        <v>981061956.00000012</v>
      </c>
      <c r="AF23" s="53">
        <v>227325</v>
      </c>
      <c r="AG23" s="53">
        <v>1</v>
      </c>
      <c r="AH23" s="58">
        <f t="shared" si="34"/>
        <v>227325</v>
      </c>
      <c r="AI23" s="58">
        <f t="shared" si="7"/>
        <v>981061956.00000012</v>
      </c>
      <c r="AJ23" s="53">
        <v>227325</v>
      </c>
      <c r="AK23" s="53">
        <v>1</v>
      </c>
      <c r="AL23" s="58">
        <f t="shared" si="35"/>
        <v>227325</v>
      </c>
      <c r="AM23" s="58">
        <f t="shared" si="8"/>
        <v>981061956.00000012</v>
      </c>
    </row>
    <row r="24" spans="1:39" x14ac:dyDescent="0.25">
      <c r="A24" s="54">
        <v>4</v>
      </c>
      <c r="B24" s="55" t="s">
        <v>13</v>
      </c>
      <c r="C24" s="56"/>
      <c r="D24" s="56"/>
      <c r="E24" s="56"/>
      <c r="F24" s="57">
        <f>+SUM(F25:F28)</f>
        <v>4141800.5215302124</v>
      </c>
      <c r="G24" s="57">
        <f t="shared" si="0"/>
        <v>17874685674.757507</v>
      </c>
      <c r="H24" s="56"/>
      <c r="I24" s="56"/>
      <c r="J24" s="57">
        <f>+SUM(J25:J28)</f>
        <v>3586694.8182262904</v>
      </c>
      <c r="K24" s="57">
        <f t="shared" si="1"/>
        <v>15479027093.122837</v>
      </c>
      <c r="L24" s="56"/>
      <c r="M24" s="56"/>
      <c r="N24" s="57">
        <f>+SUM(N25:N28)</f>
        <v>3955258.6881506564</v>
      </c>
      <c r="O24" s="57">
        <f t="shared" si="2"/>
        <v>17069630815.278027</v>
      </c>
      <c r="P24" s="56"/>
      <c r="Q24" s="56"/>
      <c r="R24" s="57">
        <f>+SUM(R25:R28)</f>
        <v>2411330.2791031376</v>
      </c>
      <c r="S24" s="57">
        <f t="shared" si="3"/>
        <v>10406529858.91983</v>
      </c>
      <c r="T24" s="56"/>
      <c r="U24" s="56"/>
      <c r="V24" s="57">
        <f>+SUM(V25:V28)</f>
        <v>2223544.3398086224</v>
      </c>
      <c r="W24" s="57">
        <f t="shared" si="4"/>
        <v>9596105836.4252758</v>
      </c>
      <c r="X24" s="56"/>
      <c r="Y24" s="56"/>
      <c r="Z24" s="57">
        <f>+SUM(Z25:Z28)</f>
        <v>2589254.0274700699</v>
      </c>
      <c r="AA24" s="57">
        <f t="shared" si="5"/>
        <v>11174391821.272032</v>
      </c>
      <c r="AB24" s="56"/>
      <c r="AC24" s="56"/>
      <c r="AD24" s="57">
        <f>+SUM(AD25:AD28)</f>
        <v>3126006.4443601174</v>
      </c>
      <c r="AE24" s="57">
        <f t="shared" si="6"/>
        <v>13490843491.796072</v>
      </c>
      <c r="AF24" s="56"/>
      <c r="AG24" s="56"/>
      <c r="AH24" s="57">
        <f>+SUM(AH25:AH28)</f>
        <v>3637401.4562929748</v>
      </c>
      <c r="AI24" s="57">
        <f t="shared" si="7"/>
        <v>15697860716.894466</v>
      </c>
      <c r="AJ24" s="56"/>
      <c r="AK24" s="56"/>
      <c r="AL24" s="57">
        <f>+SUM(AL25:AL28)</f>
        <v>4065641.1642244114</v>
      </c>
      <c r="AM24" s="57">
        <f t="shared" si="8"/>
        <v>17546006259.62001</v>
      </c>
    </row>
    <row r="25" spans="1:39" ht="27" x14ac:dyDescent="0.25">
      <c r="A25" s="51">
        <v>4.01</v>
      </c>
      <c r="B25" s="52" t="s">
        <v>147</v>
      </c>
      <c r="C25" s="53" t="s">
        <v>8</v>
      </c>
      <c r="D25" s="53">
        <v>137.80200843870878</v>
      </c>
      <c r="E25" s="53">
        <v>3493.7465354820488</v>
      </c>
      <c r="F25" s="58">
        <f t="shared" ref="F25:F28" si="36">+E25*D25</f>
        <v>481445.28956520685</v>
      </c>
      <c r="G25" s="58">
        <f t="shared" si="0"/>
        <v>2077763807.270772</v>
      </c>
      <c r="H25" s="53">
        <v>137.80200843870878</v>
      </c>
      <c r="I25" s="53">
        <v>3333.0142039256698</v>
      </c>
      <c r="J25" s="58">
        <f t="shared" ref="J25:J28" si="37">+I25*H25</f>
        <v>459296.05145570141</v>
      </c>
      <c r="K25" s="58">
        <f t="shared" si="1"/>
        <v>1982174783.3463416</v>
      </c>
      <c r="L25" s="53">
        <v>137.80200843870878</v>
      </c>
      <c r="M25" s="53">
        <v>3621.8865773137486</v>
      </c>
      <c r="N25" s="58">
        <f t="shared" ref="N25:N28" si="38">+M25*L25</f>
        <v>499103.24469103524</v>
      </c>
      <c r="O25" s="58">
        <f t="shared" si="2"/>
        <v>2153969891.0482073</v>
      </c>
      <c r="P25" s="53">
        <v>124.02180759483791</v>
      </c>
      <c r="Q25" s="53">
        <v>2651.6721905670834</v>
      </c>
      <c r="R25" s="58">
        <f t="shared" ref="R25:R28" si="39">+Q25*P25</f>
        <v>328865.17822309316</v>
      </c>
      <c r="S25" s="58">
        <f t="shared" si="3"/>
        <v>1419276872.3538387</v>
      </c>
      <c r="T25" s="53">
        <v>124.02180759483791</v>
      </c>
      <c r="U25" s="53">
        <v>2408.5812166184878</v>
      </c>
      <c r="V25" s="58">
        <f t="shared" ref="V25:V28" si="40">+U25*T25</f>
        <v>298716.5962239987</v>
      </c>
      <c r="W25" s="58">
        <f t="shared" si="4"/>
        <v>1289165239.9919868</v>
      </c>
      <c r="X25" s="53">
        <v>124.02180759483791</v>
      </c>
      <c r="Y25" s="53">
        <v>2835.5029565530754</v>
      </c>
      <c r="Z25" s="58">
        <f t="shared" ref="Z25:Z28" si="41">+Y25*X25</f>
        <v>351664.20211221953</v>
      </c>
      <c r="AA25" s="58">
        <f t="shared" si="5"/>
        <v>1517670163.7716637</v>
      </c>
      <c r="AB25" s="53">
        <v>124.02180759483791</v>
      </c>
      <c r="AC25" s="53">
        <v>3788.4827323536056</v>
      </c>
      <c r="AD25" s="58">
        <f t="shared" ref="AD25:AD28" si="42">+AC25*AB25</f>
        <v>469854.47650832467</v>
      </c>
      <c r="AE25" s="58">
        <f t="shared" si="6"/>
        <v>2027741567.1774468</v>
      </c>
      <c r="AF25" s="53">
        <v>124.02180759483791</v>
      </c>
      <c r="AG25" s="53">
        <v>4589.0942258739442</v>
      </c>
      <c r="AH25" s="58">
        <f t="shared" ref="AH25:AH28" si="43">+AG25*AF25</f>
        <v>569147.76111591992</v>
      </c>
      <c r="AI25" s="58">
        <f t="shared" si="7"/>
        <v>2456259609.6927533</v>
      </c>
      <c r="AJ25" s="53">
        <v>124.02180759483791</v>
      </c>
      <c r="AK25" s="53">
        <v>4890.0398089994933</v>
      </c>
      <c r="AL25" s="58">
        <f t="shared" ref="AL25:AL28" si="44">+AK25*AJ25</f>
        <v>606471.57632283308</v>
      </c>
      <c r="AM25" s="58">
        <f t="shared" si="8"/>
        <v>2617337252.5049243</v>
      </c>
    </row>
    <row r="26" spans="1:39" ht="18" x14ac:dyDescent="0.25">
      <c r="A26" s="51">
        <v>4.0199999999999996</v>
      </c>
      <c r="B26" s="52" t="s">
        <v>146</v>
      </c>
      <c r="C26" s="53" t="s">
        <v>8</v>
      </c>
      <c r="D26" s="53">
        <v>125.07451908525672</v>
      </c>
      <c r="E26" s="53">
        <v>1696.8732677410244</v>
      </c>
      <c r="F26" s="58">
        <f t="shared" si="36"/>
        <v>212235.6079113367</v>
      </c>
      <c r="G26" s="58">
        <f t="shared" si="0"/>
        <v>915940968.35079765</v>
      </c>
      <c r="H26" s="53">
        <v>125.07451908525672</v>
      </c>
      <c r="I26" s="53">
        <v>1616.5071019628349</v>
      </c>
      <c r="J26" s="58">
        <f t="shared" si="37"/>
        <v>202183.84837590362</v>
      </c>
      <c r="K26" s="58">
        <f t="shared" si="1"/>
        <v>872560790.75891984</v>
      </c>
      <c r="L26" s="53">
        <v>125.07451908525672</v>
      </c>
      <c r="M26" s="53">
        <v>1760.9432886568743</v>
      </c>
      <c r="N26" s="58">
        <f t="shared" si="38"/>
        <v>220249.13496516895</v>
      </c>
      <c r="O26" s="58">
        <f t="shared" si="2"/>
        <v>950524786.78648043</v>
      </c>
      <c r="P26" s="53">
        <v>84.800000000000011</v>
      </c>
      <c r="Q26" s="53">
        <v>1275.8360952835417</v>
      </c>
      <c r="R26" s="58">
        <f t="shared" si="39"/>
        <v>108190.90088004436</v>
      </c>
      <c r="S26" s="58">
        <f t="shared" si="3"/>
        <v>466917307.10998988</v>
      </c>
      <c r="T26" s="53">
        <v>84.800000000000011</v>
      </c>
      <c r="U26" s="53">
        <v>1154.2906083092439</v>
      </c>
      <c r="V26" s="58">
        <f t="shared" si="40"/>
        <v>97883.843584623901</v>
      </c>
      <c r="W26" s="58">
        <f t="shared" si="4"/>
        <v>422435346.08128971</v>
      </c>
      <c r="X26" s="53">
        <v>84.800000000000011</v>
      </c>
      <c r="Y26" s="53">
        <v>1367.7514782765377</v>
      </c>
      <c r="Z26" s="58">
        <f t="shared" si="41"/>
        <v>115985.32535785041</v>
      </c>
      <c r="AA26" s="58">
        <f t="shared" si="5"/>
        <v>500555548.94036788</v>
      </c>
      <c r="AB26" s="53">
        <v>84.800000000000011</v>
      </c>
      <c r="AC26" s="53">
        <v>1844.2413661768028</v>
      </c>
      <c r="AD26" s="58">
        <f t="shared" si="42"/>
        <v>156391.66785179291</v>
      </c>
      <c r="AE26" s="58">
        <f t="shared" si="6"/>
        <v>674936393.11462569</v>
      </c>
      <c r="AF26" s="53">
        <v>84.800000000000011</v>
      </c>
      <c r="AG26" s="53">
        <v>2244.5471129369721</v>
      </c>
      <c r="AH26" s="58">
        <f t="shared" si="43"/>
        <v>190337.59517705525</v>
      </c>
      <c r="AI26" s="58">
        <f t="shared" si="7"/>
        <v>821436152.75371385</v>
      </c>
      <c r="AJ26" s="53">
        <v>84.800000000000011</v>
      </c>
      <c r="AK26" s="53">
        <v>2395.0199044997466</v>
      </c>
      <c r="AL26" s="58">
        <f t="shared" si="44"/>
        <v>203097.68790157855</v>
      </c>
      <c r="AM26" s="58">
        <f t="shared" si="8"/>
        <v>876504629.72308457</v>
      </c>
    </row>
    <row r="27" spans="1:39" ht="18" x14ac:dyDescent="0.25">
      <c r="A27" s="51">
        <v>4.03</v>
      </c>
      <c r="B27" s="52" t="s">
        <v>148</v>
      </c>
      <c r="C27" s="53" t="s">
        <v>5</v>
      </c>
      <c r="D27" s="53">
        <v>212213.31555921613</v>
      </c>
      <c r="E27" s="53">
        <v>6</v>
      </c>
      <c r="F27" s="58">
        <f t="shared" si="36"/>
        <v>1273279.8933552969</v>
      </c>
      <c r="G27" s="58">
        <f t="shared" si="0"/>
        <v>5495068570.1555882</v>
      </c>
      <c r="H27" s="53">
        <v>212213.31555921613</v>
      </c>
      <c r="I27" s="53">
        <v>5</v>
      </c>
      <c r="J27" s="58">
        <f t="shared" si="37"/>
        <v>1061066.5777960806</v>
      </c>
      <c r="K27" s="58">
        <f t="shared" si="1"/>
        <v>4579223808.4629898</v>
      </c>
      <c r="L27" s="53">
        <v>212213.31555921613</v>
      </c>
      <c r="M27" s="53">
        <v>5</v>
      </c>
      <c r="N27" s="58">
        <f t="shared" si="38"/>
        <v>1061066.5777960806</v>
      </c>
      <c r="O27" s="58">
        <f t="shared" si="2"/>
        <v>4579223808.4629898</v>
      </c>
      <c r="P27" s="53">
        <v>147330.29999999999</v>
      </c>
      <c r="Q27" s="53">
        <v>4</v>
      </c>
      <c r="R27" s="58">
        <f t="shared" si="39"/>
        <v>589321.19999999995</v>
      </c>
      <c r="S27" s="58">
        <f t="shared" si="3"/>
        <v>2543321716.4159999</v>
      </c>
      <c r="T27" s="53">
        <v>147330.29999999999</v>
      </c>
      <c r="U27" s="53">
        <v>3</v>
      </c>
      <c r="V27" s="58">
        <f t="shared" si="40"/>
        <v>441990.89999999997</v>
      </c>
      <c r="W27" s="58">
        <f t="shared" si="4"/>
        <v>1907491287.312</v>
      </c>
      <c r="X27" s="53">
        <v>147330.29999999999</v>
      </c>
      <c r="Y27" s="53">
        <v>5</v>
      </c>
      <c r="Z27" s="58">
        <f t="shared" si="41"/>
        <v>736651.5</v>
      </c>
      <c r="AA27" s="58">
        <f t="shared" si="5"/>
        <v>3179152145.52</v>
      </c>
      <c r="AB27" s="53">
        <v>147330.29999999999</v>
      </c>
      <c r="AC27" s="53">
        <v>6</v>
      </c>
      <c r="AD27" s="58">
        <f t="shared" si="42"/>
        <v>883981.79999999993</v>
      </c>
      <c r="AE27" s="58">
        <f t="shared" si="6"/>
        <v>3814982574.6240001</v>
      </c>
      <c r="AF27" s="53">
        <v>147330.29999999999</v>
      </c>
      <c r="AG27" s="53">
        <v>7</v>
      </c>
      <c r="AH27" s="58">
        <f t="shared" si="43"/>
        <v>1031312.0999999999</v>
      </c>
      <c r="AI27" s="58">
        <f t="shared" si="7"/>
        <v>4450813003.7279997</v>
      </c>
      <c r="AJ27" s="53">
        <v>147330.29999999999</v>
      </c>
      <c r="AK27" s="53">
        <v>8</v>
      </c>
      <c r="AL27" s="58">
        <f t="shared" si="44"/>
        <v>1178642.3999999999</v>
      </c>
      <c r="AM27" s="58">
        <f t="shared" si="8"/>
        <v>5086643432.8319998</v>
      </c>
    </row>
    <row r="28" spans="1:39" ht="18" x14ac:dyDescent="0.25">
      <c r="A28" s="51">
        <v>4.04</v>
      </c>
      <c r="B28" s="52" t="s">
        <v>149</v>
      </c>
      <c r="C28" s="53" t="s">
        <v>5</v>
      </c>
      <c r="D28" s="53">
        <v>310691.39009976742</v>
      </c>
      <c r="E28" s="53">
        <v>7</v>
      </c>
      <c r="F28" s="58">
        <f t="shared" si="36"/>
        <v>2174839.7306983718</v>
      </c>
      <c r="G28" s="58">
        <f t="shared" si="0"/>
        <v>9385912328.9803505</v>
      </c>
      <c r="H28" s="53">
        <v>310691.39009976742</v>
      </c>
      <c r="I28" s="53">
        <v>6</v>
      </c>
      <c r="J28" s="58">
        <f t="shared" si="37"/>
        <v>1864148.3405986046</v>
      </c>
      <c r="K28" s="58">
        <f t="shared" si="1"/>
        <v>8045067710.5545864</v>
      </c>
      <c r="L28" s="53">
        <v>310691.39009976742</v>
      </c>
      <c r="M28" s="53">
        <v>7</v>
      </c>
      <c r="N28" s="58">
        <f t="shared" si="38"/>
        <v>2174839.7306983718</v>
      </c>
      <c r="O28" s="58">
        <f t="shared" si="2"/>
        <v>9385912328.9803505</v>
      </c>
      <c r="P28" s="53">
        <v>230825.5</v>
      </c>
      <c r="Q28" s="53">
        <v>6</v>
      </c>
      <c r="R28" s="58">
        <f t="shared" si="39"/>
        <v>1384953</v>
      </c>
      <c r="S28" s="58">
        <f t="shared" si="3"/>
        <v>5977013963.04</v>
      </c>
      <c r="T28" s="53">
        <v>230825.5</v>
      </c>
      <c r="U28" s="53">
        <v>6</v>
      </c>
      <c r="V28" s="58">
        <f t="shared" si="40"/>
        <v>1384953</v>
      </c>
      <c r="W28" s="58">
        <f t="shared" si="4"/>
        <v>5977013963.04</v>
      </c>
      <c r="X28" s="53">
        <v>230825.5</v>
      </c>
      <c r="Y28" s="53">
        <v>6</v>
      </c>
      <c r="Z28" s="58">
        <f t="shared" si="41"/>
        <v>1384953</v>
      </c>
      <c r="AA28" s="58">
        <f t="shared" si="5"/>
        <v>5977013963.04</v>
      </c>
      <c r="AB28" s="53">
        <v>230825.5</v>
      </c>
      <c r="AC28" s="53">
        <v>7</v>
      </c>
      <c r="AD28" s="58">
        <f t="shared" si="42"/>
        <v>1615778.5</v>
      </c>
      <c r="AE28" s="58">
        <f t="shared" si="6"/>
        <v>6973182956.8800001</v>
      </c>
      <c r="AF28" s="53">
        <v>230825.5</v>
      </c>
      <c r="AG28" s="53">
        <v>8</v>
      </c>
      <c r="AH28" s="58">
        <f t="shared" si="43"/>
        <v>1846604</v>
      </c>
      <c r="AI28" s="58">
        <f t="shared" si="7"/>
        <v>7969351950.7200003</v>
      </c>
      <c r="AJ28" s="53">
        <v>230825.5</v>
      </c>
      <c r="AK28" s="53">
        <v>9</v>
      </c>
      <c r="AL28" s="58">
        <f t="shared" si="44"/>
        <v>2077429.5</v>
      </c>
      <c r="AM28" s="58">
        <f t="shared" si="8"/>
        <v>8965520944.5600014</v>
      </c>
    </row>
    <row r="29" spans="1:39" x14ac:dyDescent="0.25">
      <c r="A29" s="54">
        <v>5</v>
      </c>
      <c r="B29" s="55" t="s">
        <v>14</v>
      </c>
      <c r="C29" s="56"/>
      <c r="D29" s="56"/>
      <c r="E29" s="56"/>
      <c r="F29" s="57">
        <f>+SUM(F30:F33)</f>
        <v>4153769.2145359335</v>
      </c>
      <c r="G29" s="57">
        <f t="shared" si="0"/>
        <v>17926338723.788437</v>
      </c>
      <c r="H29" s="56"/>
      <c r="I29" s="56"/>
      <c r="J29" s="57">
        <f>+SUM(J30:J33)</f>
        <v>4004386.554781409</v>
      </c>
      <c r="K29" s="57">
        <f t="shared" si="1"/>
        <v>17281650966.739033</v>
      </c>
      <c r="L29" s="56"/>
      <c r="M29" s="56"/>
      <c r="N29" s="57">
        <f>+SUM(N30:N33)</f>
        <v>4260741.0211359318</v>
      </c>
      <c r="O29" s="57">
        <f t="shared" si="2"/>
        <v>18387994810.095921</v>
      </c>
      <c r="P29" s="56"/>
      <c r="Q29" s="56"/>
      <c r="R29" s="57">
        <f>+SUM(R30:R33)</f>
        <v>1827944.1736931745</v>
      </c>
      <c r="S29" s="57">
        <f t="shared" si="3"/>
        <v>7888822111.5241594</v>
      </c>
      <c r="T29" s="56"/>
      <c r="U29" s="56"/>
      <c r="V29" s="57">
        <f>+SUM(V30:V33)</f>
        <v>1689643.623184389</v>
      </c>
      <c r="W29" s="57">
        <f t="shared" si="4"/>
        <v>7291961191.7044039</v>
      </c>
      <c r="X29" s="56"/>
      <c r="Y29" s="56"/>
      <c r="Z29" s="57">
        <f>+SUM(Z30:Z33)</f>
        <v>1920144.5406990312</v>
      </c>
      <c r="AA29" s="57">
        <f t="shared" si="5"/>
        <v>8286729391.4039955</v>
      </c>
      <c r="AB29" s="56"/>
      <c r="AC29" s="56"/>
      <c r="AD29" s="57">
        <f>+SUM(AD30:AD33)</f>
        <v>1973628.0909656086</v>
      </c>
      <c r="AE29" s="57">
        <f t="shared" si="6"/>
        <v>8517547279.6184587</v>
      </c>
      <c r="AF29" s="56"/>
      <c r="AG29" s="56"/>
      <c r="AH29" s="57">
        <f>+SUM(AH30:AH33)</f>
        <v>2303712.7422497566</v>
      </c>
      <c r="AI29" s="57">
        <f t="shared" si="7"/>
        <v>9942087007.4724293</v>
      </c>
      <c r="AJ29" s="56"/>
      <c r="AK29" s="56"/>
      <c r="AL29" s="57">
        <f>+SUM(AL30:AL33)</f>
        <v>2442013.2927585421</v>
      </c>
      <c r="AM29" s="57">
        <f t="shared" si="8"/>
        <v>10538947927.292185</v>
      </c>
    </row>
    <row r="30" spans="1:39" x14ac:dyDescent="0.25">
      <c r="A30" s="51">
        <v>5.01</v>
      </c>
      <c r="B30" s="52" t="s">
        <v>164</v>
      </c>
      <c r="C30" s="53" t="s">
        <v>5</v>
      </c>
      <c r="D30" s="53">
        <v>40011.836415246202</v>
      </c>
      <c r="E30" s="53">
        <v>81</v>
      </c>
      <c r="F30" s="58">
        <f t="shared" ref="F30:F33" si="45">+E30*D30</f>
        <v>3240958.7496349425</v>
      </c>
      <c r="G30" s="58">
        <f t="shared" si="0"/>
        <v>13986940856.624529</v>
      </c>
      <c r="H30" s="53">
        <v>40011.836415246202</v>
      </c>
      <c r="I30" s="53">
        <v>78</v>
      </c>
      <c r="J30" s="58">
        <f t="shared" ref="J30:J33" si="46">+I30*H30</f>
        <v>3120923.2403892037</v>
      </c>
      <c r="K30" s="58">
        <f t="shared" si="1"/>
        <v>13468906010.08288</v>
      </c>
      <c r="L30" s="53">
        <v>40011.836415246202</v>
      </c>
      <c r="M30" s="53">
        <v>83</v>
      </c>
      <c r="N30" s="58">
        <f t="shared" ref="N30:N33" si="47">+M30*L30</f>
        <v>3320982.4224654348</v>
      </c>
      <c r="O30" s="58">
        <f t="shared" si="2"/>
        <v>14332297420.985628</v>
      </c>
      <c r="P30" s="53">
        <v>36317.800000000003</v>
      </c>
      <c r="Q30" s="53">
        <v>38</v>
      </c>
      <c r="R30" s="58">
        <f t="shared" ref="R30:R33" si="48">+Q30*P30</f>
        <v>1380076.4000000001</v>
      </c>
      <c r="S30" s="58">
        <f t="shared" si="3"/>
        <v>5955968117.9520006</v>
      </c>
      <c r="T30" s="53">
        <v>36317.800000000003</v>
      </c>
      <c r="U30" s="53">
        <v>35</v>
      </c>
      <c r="V30" s="58">
        <f t="shared" ref="V30:V33" si="49">+U30*T30</f>
        <v>1271123</v>
      </c>
      <c r="W30" s="58">
        <f t="shared" si="4"/>
        <v>5485760108.6400003</v>
      </c>
      <c r="X30" s="53">
        <v>36317.800000000003</v>
      </c>
      <c r="Y30" s="53">
        <v>40</v>
      </c>
      <c r="Z30" s="58">
        <f t="shared" ref="Z30:Z33" si="50">+Y30*X30</f>
        <v>1452712</v>
      </c>
      <c r="AA30" s="58">
        <f t="shared" si="5"/>
        <v>6269440124.1600008</v>
      </c>
      <c r="AB30" s="53">
        <v>36317.800000000003</v>
      </c>
      <c r="AC30" s="53">
        <v>41</v>
      </c>
      <c r="AD30" s="58">
        <f t="shared" ref="AD30:AD33" si="51">+AC30*AB30</f>
        <v>1489029.8</v>
      </c>
      <c r="AE30" s="58">
        <f t="shared" si="6"/>
        <v>6426176127.2640009</v>
      </c>
      <c r="AF30" s="53">
        <v>36317.800000000003</v>
      </c>
      <c r="AG30" s="53">
        <v>48</v>
      </c>
      <c r="AH30" s="58">
        <f t="shared" ref="AH30:AH33" si="52">+AG30*AF30</f>
        <v>1743254.4000000001</v>
      </c>
      <c r="AI30" s="58">
        <f t="shared" si="7"/>
        <v>7523328148.9920015</v>
      </c>
      <c r="AJ30" s="53">
        <v>36317.800000000003</v>
      </c>
      <c r="AK30" s="53">
        <v>51</v>
      </c>
      <c r="AL30" s="58">
        <f t="shared" ref="AL30:AL33" si="53">+AK30*AJ30</f>
        <v>1852207.8</v>
      </c>
      <c r="AM30" s="58">
        <f t="shared" si="8"/>
        <v>7993536158.3040009</v>
      </c>
    </row>
    <row r="31" spans="1:39" ht="18" x14ac:dyDescent="0.25">
      <c r="A31" s="51">
        <v>5.0199999999999996</v>
      </c>
      <c r="B31" s="52" t="s">
        <v>165</v>
      </c>
      <c r="C31" s="53" t="s">
        <v>5</v>
      </c>
      <c r="D31" s="53">
        <v>9782.3835029284601</v>
      </c>
      <c r="E31" s="53">
        <v>81</v>
      </c>
      <c r="F31" s="58">
        <f t="shared" si="45"/>
        <v>792373.06373720523</v>
      </c>
      <c r="G31" s="58">
        <f t="shared" si="0"/>
        <v>3419628583.7093821</v>
      </c>
      <c r="H31" s="53">
        <v>9782.3835029284601</v>
      </c>
      <c r="I31" s="53">
        <v>78</v>
      </c>
      <c r="J31" s="58">
        <f t="shared" si="46"/>
        <v>763025.91322841984</v>
      </c>
      <c r="K31" s="58">
        <f t="shared" si="1"/>
        <v>3292975673.2016273</v>
      </c>
      <c r="L31" s="53">
        <v>9782.3835029284601</v>
      </c>
      <c r="M31" s="53">
        <v>83</v>
      </c>
      <c r="N31" s="58">
        <f t="shared" si="47"/>
        <v>811937.83074306219</v>
      </c>
      <c r="O31" s="58">
        <f t="shared" si="2"/>
        <v>3504063857.3812189</v>
      </c>
      <c r="P31" s="53">
        <v>9782.3835029284601</v>
      </c>
      <c r="Q31" s="53">
        <v>38</v>
      </c>
      <c r="R31" s="58">
        <f t="shared" si="48"/>
        <v>371730.5731112815</v>
      </c>
      <c r="S31" s="58">
        <f t="shared" si="3"/>
        <v>1604270199.7648954</v>
      </c>
      <c r="T31" s="53">
        <v>9782.3835029284601</v>
      </c>
      <c r="U31" s="53">
        <v>35</v>
      </c>
      <c r="V31" s="58">
        <f t="shared" si="49"/>
        <v>342383.42260249611</v>
      </c>
      <c r="W31" s="58">
        <f t="shared" si="4"/>
        <v>1477617289.2571404</v>
      </c>
      <c r="X31" s="53">
        <v>9782.3835029284601</v>
      </c>
      <c r="Y31" s="53">
        <v>40</v>
      </c>
      <c r="Z31" s="58">
        <f t="shared" si="50"/>
        <v>391295.3401171384</v>
      </c>
      <c r="AA31" s="58">
        <f t="shared" si="5"/>
        <v>1688705473.4367321</v>
      </c>
      <c r="AB31" s="53">
        <v>9782.3835029284601</v>
      </c>
      <c r="AC31" s="53">
        <v>41</v>
      </c>
      <c r="AD31" s="58">
        <f t="shared" si="51"/>
        <v>401077.72362006688</v>
      </c>
      <c r="AE31" s="58">
        <f t="shared" si="6"/>
        <v>1730923110.2726505</v>
      </c>
      <c r="AF31" s="53">
        <v>9782.3835029284601</v>
      </c>
      <c r="AG31" s="53">
        <v>48</v>
      </c>
      <c r="AH31" s="58">
        <f t="shared" si="52"/>
        <v>469554.40814056608</v>
      </c>
      <c r="AI31" s="58">
        <f t="shared" si="7"/>
        <v>2026446568.1240783</v>
      </c>
      <c r="AJ31" s="53">
        <v>9782.3835029284601</v>
      </c>
      <c r="AK31" s="53">
        <v>51</v>
      </c>
      <c r="AL31" s="58">
        <f t="shared" si="53"/>
        <v>498901.55864935147</v>
      </c>
      <c r="AM31" s="58">
        <f t="shared" si="8"/>
        <v>2153099478.6318331</v>
      </c>
    </row>
    <row r="32" spans="1:39" x14ac:dyDescent="0.25">
      <c r="A32" s="51">
        <v>5.03</v>
      </c>
      <c r="B32" s="52" t="s">
        <v>16</v>
      </c>
      <c r="C32" s="53" t="s">
        <v>128</v>
      </c>
      <c r="D32" s="53">
        <v>31837</v>
      </c>
      <c r="E32" s="53">
        <v>1</v>
      </c>
      <c r="F32" s="58">
        <f t="shared" si="45"/>
        <v>31837</v>
      </c>
      <c r="G32" s="58">
        <f t="shared" si="0"/>
        <v>137398304.16</v>
      </c>
      <c r="H32" s="53">
        <v>31837</v>
      </c>
      <c r="I32" s="53">
        <v>1</v>
      </c>
      <c r="J32" s="58">
        <f t="shared" si="46"/>
        <v>31837</v>
      </c>
      <c r="K32" s="58">
        <f t="shared" si="1"/>
        <v>137398304.16</v>
      </c>
      <c r="L32" s="53">
        <v>31837</v>
      </c>
      <c r="M32" s="53">
        <v>1</v>
      </c>
      <c r="N32" s="58">
        <f t="shared" si="47"/>
        <v>31837</v>
      </c>
      <c r="O32" s="58">
        <f t="shared" si="2"/>
        <v>137398304.16</v>
      </c>
      <c r="P32" s="53">
        <v>31837</v>
      </c>
      <c r="Q32" s="53">
        <v>1</v>
      </c>
      <c r="R32" s="58">
        <f t="shared" si="48"/>
        <v>31837</v>
      </c>
      <c r="S32" s="58">
        <f t="shared" si="3"/>
        <v>137398304.16</v>
      </c>
      <c r="T32" s="53">
        <v>31837</v>
      </c>
      <c r="U32" s="53">
        <v>1</v>
      </c>
      <c r="V32" s="58">
        <f t="shared" si="49"/>
        <v>31837</v>
      </c>
      <c r="W32" s="58">
        <f t="shared" si="4"/>
        <v>137398304.16</v>
      </c>
      <c r="X32" s="53">
        <v>31837</v>
      </c>
      <c r="Y32" s="53">
        <v>1</v>
      </c>
      <c r="Z32" s="58">
        <f t="shared" si="50"/>
        <v>31837</v>
      </c>
      <c r="AA32" s="58">
        <f t="shared" si="5"/>
        <v>137398304.16</v>
      </c>
      <c r="AB32" s="53">
        <v>31837</v>
      </c>
      <c r="AC32" s="53">
        <v>1</v>
      </c>
      <c r="AD32" s="58">
        <f t="shared" si="51"/>
        <v>31837</v>
      </c>
      <c r="AE32" s="58">
        <f t="shared" si="6"/>
        <v>137398304.16</v>
      </c>
      <c r="AF32" s="53">
        <v>31837</v>
      </c>
      <c r="AG32" s="53">
        <v>1</v>
      </c>
      <c r="AH32" s="58">
        <f t="shared" si="52"/>
        <v>31837</v>
      </c>
      <c r="AI32" s="58">
        <f t="shared" si="7"/>
        <v>137398304.16</v>
      </c>
      <c r="AJ32" s="53">
        <v>31837</v>
      </c>
      <c r="AK32" s="53">
        <v>1</v>
      </c>
      <c r="AL32" s="58">
        <f t="shared" si="53"/>
        <v>31837</v>
      </c>
      <c r="AM32" s="58">
        <f t="shared" si="8"/>
        <v>137398304.16</v>
      </c>
    </row>
    <row r="33" spans="1:39" x14ac:dyDescent="0.25">
      <c r="A33" s="51">
        <v>5.04</v>
      </c>
      <c r="B33" s="52" t="s">
        <v>171</v>
      </c>
      <c r="C33" s="53" t="s">
        <v>5</v>
      </c>
      <c r="D33" s="53">
        <v>7383.3667636488108</v>
      </c>
      <c r="E33" s="53">
        <v>12</v>
      </c>
      <c r="F33" s="58">
        <f t="shared" si="45"/>
        <v>88600.401163785733</v>
      </c>
      <c r="G33" s="58">
        <f t="shared" si="0"/>
        <v>382370979.29452682</v>
      </c>
      <c r="H33" s="53">
        <v>7383.3667636488108</v>
      </c>
      <c r="I33" s="53">
        <v>12</v>
      </c>
      <c r="J33" s="58">
        <f t="shared" si="46"/>
        <v>88600.401163785733</v>
      </c>
      <c r="K33" s="58">
        <f t="shared" si="1"/>
        <v>382370979.29452682</v>
      </c>
      <c r="L33" s="53">
        <v>7383.3667636488108</v>
      </c>
      <c r="M33" s="53">
        <v>13</v>
      </c>
      <c r="N33" s="58">
        <f t="shared" si="47"/>
        <v>95983.767927434543</v>
      </c>
      <c r="O33" s="58">
        <f t="shared" si="2"/>
        <v>414235227.56907076</v>
      </c>
      <c r="P33" s="53">
        <v>7383.3667636488108</v>
      </c>
      <c r="Q33" s="53">
        <v>6</v>
      </c>
      <c r="R33" s="58">
        <f t="shared" si="48"/>
        <v>44300.200581892866</v>
      </c>
      <c r="S33" s="58">
        <f t="shared" si="3"/>
        <v>191185489.64726341</v>
      </c>
      <c r="T33" s="53">
        <v>7383.3667636488108</v>
      </c>
      <c r="U33" s="53">
        <v>6</v>
      </c>
      <c r="V33" s="58">
        <f t="shared" si="49"/>
        <v>44300.200581892866</v>
      </c>
      <c r="W33" s="58">
        <f t="shared" si="4"/>
        <v>191185489.64726341</v>
      </c>
      <c r="X33" s="53">
        <v>7383.3667636488108</v>
      </c>
      <c r="Y33" s="53">
        <v>6</v>
      </c>
      <c r="Z33" s="58">
        <f t="shared" si="50"/>
        <v>44300.200581892866</v>
      </c>
      <c r="AA33" s="58">
        <f t="shared" si="5"/>
        <v>191185489.64726341</v>
      </c>
      <c r="AB33" s="53">
        <v>7383.3667636488108</v>
      </c>
      <c r="AC33" s="53">
        <v>7</v>
      </c>
      <c r="AD33" s="58">
        <f t="shared" si="51"/>
        <v>51683.567345541676</v>
      </c>
      <c r="AE33" s="58">
        <f t="shared" si="6"/>
        <v>223049737.92180732</v>
      </c>
      <c r="AF33" s="53">
        <v>7383.3667636488108</v>
      </c>
      <c r="AG33" s="53">
        <v>8</v>
      </c>
      <c r="AH33" s="58">
        <f t="shared" si="52"/>
        <v>59066.934109190486</v>
      </c>
      <c r="AI33" s="58">
        <f t="shared" si="7"/>
        <v>254913986.1963512</v>
      </c>
      <c r="AJ33" s="53">
        <v>7383.3667636488108</v>
      </c>
      <c r="AK33" s="53">
        <v>8</v>
      </c>
      <c r="AL33" s="58">
        <f t="shared" si="53"/>
        <v>59066.934109190486</v>
      </c>
      <c r="AM33" s="58">
        <f t="shared" si="8"/>
        <v>254913986.1963512</v>
      </c>
    </row>
    <row r="34" spans="1:39" x14ac:dyDescent="0.25">
      <c r="A34" s="54">
        <v>6</v>
      </c>
      <c r="B34" s="55" t="s">
        <v>15</v>
      </c>
      <c r="C34" s="56"/>
      <c r="D34" s="56"/>
      <c r="E34" s="56"/>
      <c r="F34" s="57">
        <f>+SUM(F35:F38)</f>
        <v>527998.78487078554</v>
      </c>
      <c r="G34" s="57">
        <f t="shared" si="0"/>
        <v>2278673795.8911519</v>
      </c>
      <c r="H34" s="56"/>
      <c r="I34" s="56"/>
      <c r="J34" s="57">
        <f>+SUM(J35:J38)</f>
        <v>527998.78487078554</v>
      </c>
      <c r="K34" s="57">
        <f t="shared" si="1"/>
        <v>2278673795.8911519</v>
      </c>
      <c r="L34" s="56"/>
      <c r="M34" s="56"/>
      <c r="N34" s="57">
        <f>+SUM(N35:N38)</f>
        <v>527998.78487078554</v>
      </c>
      <c r="O34" s="57">
        <f t="shared" si="2"/>
        <v>2278673795.8911519</v>
      </c>
      <c r="P34" s="56"/>
      <c r="Q34" s="56"/>
      <c r="R34" s="57">
        <f>+SUM(R35:R38)</f>
        <v>377000</v>
      </c>
      <c r="S34" s="57">
        <f t="shared" si="3"/>
        <v>1627011360</v>
      </c>
      <c r="T34" s="56"/>
      <c r="U34" s="56"/>
      <c r="V34" s="57">
        <f>+SUM(V35:V38)</f>
        <v>377000</v>
      </c>
      <c r="W34" s="57">
        <f t="shared" si="4"/>
        <v>1627011360</v>
      </c>
      <c r="X34" s="56"/>
      <c r="Y34" s="56"/>
      <c r="Z34" s="57">
        <f>+SUM(Z35:Z38)</f>
        <v>377000</v>
      </c>
      <c r="AA34" s="57">
        <f t="shared" si="5"/>
        <v>1627011360</v>
      </c>
      <c r="AB34" s="56"/>
      <c r="AC34" s="56"/>
      <c r="AD34" s="57">
        <f>+SUM(AD35:AD38)</f>
        <v>377000</v>
      </c>
      <c r="AE34" s="57">
        <f t="shared" si="6"/>
        <v>1627011360</v>
      </c>
      <c r="AF34" s="56"/>
      <c r="AG34" s="56"/>
      <c r="AH34" s="57">
        <f>+SUM(AH35:AH38)</f>
        <v>377000</v>
      </c>
      <c r="AI34" s="57">
        <f t="shared" si="7"/>
        <v>1627011360</v>
      </c>
      <c r="AJ34" s="56"/>
      <c r="AK34" s="56"/>
      <c r="AL34" s="57">
        <f>+SUM(AL35:AL38)</f>
        <v>377000</v>
      </c>
      <c r="AM34" s="57">
        <f t="shared" si="8"/>
        <v>1627011360</v>
      </c>
    </row>
    <row r="35" spans="1:39" x14ac:dyDescent="0.25">
      <c r="A35" s="51">
        <v>6.01</v>
      </c>
      <c r="B35" s="52" t="s">
        <v>19</v>
      </c>
      <c r="C35" s="53" t="s">
        <v>128</v>
      </c>
      <c r="D35" s="53">
        <v>19080</v>
      </c>
      <c r="E35" s="53">
        <v>1</v>
      </c>
      <c r="F35" s="58">
        <f t="shared" ref="F35:F38" si="54">+E35*D35</f>
        <v>19080</v>
      </c>
      <c r="G35" s="58">
        <f t="shared" si="0"/>
        <v>82343174.400000006</v>
      </c>
      <c r="H35" s="53">
        <v>19080</v>
      </c>
      <c r="I35" s="53">
        <v>1</v>
      </c>
      <c r="J35" s="58">
        <f t="shared" ref="J35:J38" si="55">+I35*H35</f>
        <v>19080</v>
      </c>
      <c r="K35" s="58">
        <f t="shared" si="1"/>
        <v>82343174.400000006</v>
      </c>
      <c r="L35" s="53">
        <v>19080</v>
      </c>
      <c r="M35" s="53">
        <v>1</v>
      </c>
      <c r="N35" s="58">
        <f t="shared" ref="N35:N38" si="56">+M35*L35</f>
        <v>19080</v>
      </c>
      <c r="O35" s="58">
        <f t="shared" si="2"/>
        <v>82343174.400000006</v>
      </c>
      <c r="P35" s="53">
        <v>15900</v>
      </c>
      <c r="Q35" s="53">
        <v>1</v>
      </c>
      <c r="R35" s="58">
        <f t="shared" ref="R35:R38" si="57">+Q35*P35</f>
        <v>15900</v>
      </c>
      <c r="S35" s="58">
        <f t="shared" si="3"/>
        <v>68619312</v>
      </c>
      <c r="T35" s="53">
        <v>15900</v>
      </c>
      <c r="U35" s="53">
        <v>1</v>
      </c>
      <c r="V35" s="58">
        <f t="shared" ref="V35:V38" si="58">+U35*T35</f>
        <v>15900</v>
      </c>
      <c r="W35" s="58">
        <f t="shared" si="4"/>
        <v>68619312</v>
      </c>
      <c r="X35" s="53">
        <v>15900</v>
      </c>
      <c r="Y35" s="53">
        <v>1</v>
      </c>
      <c r="Z35" s="58">
        <f t="shared" ref="Z35:Z38" si="59">+Y35*X35</f>
        <v>15900</v>
      </c>
      <c r="AA35" s="58">
        <f t="shared" si="5"/>
        <v>68619312</v>
      </c>
      <c r="AB35" s="53">
        <v>15900</v>
      </c>
      <c r="AC35" s="53">
        <v>1</v>
      </c>
      <c r="AD35" s="58">
        <f t="shared" ref="AD35:AD38" si="60">+AC35*AB35</f>
        <v>15900</v>
      </c>
      <c r="AE35" s="58">
        <f t="shared" si="6"/>
        <v>68619312</v>
      </c>
      <c r="AF35" s="53">
        <v>15900</v>
      </c>
      <c r="AG35" s="53">
        <v>1</v>
      </c>
      <c r="AH35" s="58">
        <f t="shared" ref="AH35:AH38" si="61">+AG35*AF35</f>
        <v>15900</v>
      </c>
      <c r="AI35" s="58">
        <f t="shared" si="7"/>
        <v>68619312</v>
      </c>
      <c r="AJ35" s="53">
        <v>15900</v>
      </c>
      <c r="AK35" s="53">
        <v>1</v>
      </c>
      <c r="AL35" s="58">
        <f t="shared" ref="AL35:AL38" si="62">+AK35*AJ35</f>
        <v>15900</v>
      </c>
      <c r="AM35" s="58">
        <f t="shared" si="8"/>
        <v>68619312</v>
      </c>
    </row>
    <row r="36" spans="1:39" ht="18" x14ac:dyDescent="0.25">
      <c r="A36" s="51">
        <v>6.02</v>
      </c>
      <c r="B36" s="52" t="s">
        <v>172</v>
      </c>
      <c r="C36" s="53" t="s">
        <v>128</v>
      </c>
      <c r="D36" s="53">
        <v>44520</v>
      </c>
      <c r="E36" s="53">
        <v>1</v>
      </c>
      <c r="F36" s="58">
        <f t="shared" si="54"/>
        <v>44520</v>
      </c>
      <c r="G36" s="58">
        <f t="shared" si="0"/>
        <v>192134073.60000002</v>
      </c>
      <c r="H36" s="53">
        <v>44520</v>
      </c>
      <c r="I36" s="53">
        <v>1</v>
      </c>
      <c r="J36" s="58">
        <f t="shared" si="55"/>
        <v>44520</v>
      </c>
      <c r="K36" s="58">
        <f t="shared" si="1"/>
        <v>192134073.60000002</v>
      </c>
      <c r="L36" s="53">
        <v>44520</v>
      </c>
      <c r="M36" s="53">
        <v>1</v>
      </c>
      <c r="N36" s="58">
        <f t="shared" si="56"/>
        <v>44520</v>
      </c>
      <c r="O36" s="58">
        <f t="shared" si="2"/>
        <v>192134073.60000002</v>
      </c>
      <c r="P36" s="53">
        <v>37100</v>
      </c>
      <c r="Q36" s="53">
        <v>1</v>
      </c>
      <c r="R36" s="58">
        <f t="shared" si="57"/>
        <v>37100</v>
      </c>
      <c r="S36" s="58">
        <f t="shared" si="3"/>
        <v>160111728</v>
      </c>
      <c r="T36" s="53">
        <v>37100</v>
      </c>
      <c r="U36" s="53">
        <v>1</v>
      </c>
      <c r="V36" s="58">
        <f t="shared" si="58"/>
        <v>37100</v>
      </c>
      <c r="W36" s="58">
        <f t="shared" si="4"/>
        <v>160111728</v>
      </c>
      <c r="X36" s="53">
        <v>37100</v>
      </c>
      <c r="Y36" s="53">
        <v>1</v>
      </c>
      <c r="Z36" s="58">
        <f t="shared" si="59"/>
        <v>37100</v>
      </c>
      <c r="AA36" s="58">
        <f t="shared" si="5"/>
        <v>160111728</v>
      </c>
      <c r="AB36" s="53">
        <v>37100</v>
      </c>
      <c r="AC36" s="53">
        <v>1</v>
      </c>
      <c r="AD36" s="58">
        <f t="shared" si="60"/>
        <v>37100</v>
      </c>
      <c r="AE36" s="58">
        <f t="shared" si="6"/>
        <v>160111728</v>
      </c>
      <c r="AF36" s="53">
        <v>37100</v>
      </c>
      <c r="AG36" s="53">
        <v>1</v>
      </c>
      <c r="AH36" s="58">
        <f t="shared" si="61"/>
        <v>37100</v>
      </c>
      <c r="AI36" s="58">
        <f t="shared" si="7"/>
        <v>160111728</v>
      </c>
      <c r="AJ36" s="53">
        <v>37100</v>
      </c>
      <c r="AK36" s="53">
        <v>1</v>
      </c>
      <c r="AL36" s="58">
        <f t="shared" si="62"/>
        <v>37100</v>
      </c>
      <c r="AM36" s="58">
        <f t="shared" si="8"/>
        <v>160111728</v>
      </c>
    </row>
    <row r="37" spans="1:39" ht="18" x14ac:dyDescent="0.25">
      <c r="A37" s="51">
        <v>6.03</v>
      </c>
      <c r="B37" s="52" t="s">
        <v>39</v>
      </c>
      <c r="C37" s="60" t="s">
        <v>150</v>
      </c>
      <c r="D37" s="53">
        <v>120000</v>
      </c>
      <c r="E37" s="53">
        <v>2</v>
      </c>
      <c r="F37" s="58">
        <f t="shared" si="54"/>
        <v>240000</v>
      </c>
      <c r="G37" s="58">
        <f t="shared" ref="G37:G68" si="63">+F37*$C$1</f>
        <v>1035763200.0000001</v>
      </c>
      <c r="H37" s="53">
        <v>120000</v>
      </c>
      <c r="I37" s="53">
        <v>2</v>
      </c>
      <c r="J37" s="58">
        <f t="shared" si="55"/>
        <v>240000</v>
      </c>
      <c r="K37" s="58">
        <f t="shared" ref="K37:K68" si="64">+J37*$C$1</f>
        <v>1035763200.0000001</v>
      </c>
      <c r="L37" s="53">
        <v>120000</v>
      </c>
      <c r="M37" s="53">
        <v>2</v>
      </c>
      <c r="N37" s="58">
        <f t="shared" si="56"/>
        <v>240000</v>
      </c>
      <c r="O37" s="58">
        <f t="shared" ref="O37:O68" si="65">+N37*$C$1</f>
        <v>1035763200.0000001</v>
      </c>
      <c r="P37" s="53">
        <v>82500</v>
      </c>
      <c r="Q37" s="53">
        <v>2</v>
      </c>
      <c r="R37" s="58">
        <f t="shared" si="57"/>
        <v>165000</v>
      </c>
      <c r="S37" s="58">
        <f t="shared" ref="S37:S68" si="66">+R37*$C$1</f>
        <v>712087200</v>
      </c>
      <c r="T37" s="53">
        <v>82500</v>
      </c>
      <c r="U37" s="53">
        <v>2</v>
      </c>
      <c r="V37" s="58">
        <f t="shared" si="58"/>
        <v>165000</v>
      </c>
      <c r="W37" s="58">
        <f t="shared" ref="W37:W68" si="67">+V37*$C$1</f>
        <v>712087200</v>
      </c>
      <c r="X37" s="53">
        <v>82500</v>
      </c>
      <c r="Y37" s="53">
        <v>2</v>
      </c>
      <c r="Z37" s="58">
        <f t="shared" si="59"/>
        <v>165000</v>
      </c>
      <c r="AA37" s="58">
        <f t="shared" ref="AA37:AA68" si="68">+Z37*$C$1</f>
        <v>712087200</v>
      </c>
      <c r="AB37" s="53">
        <v>82500</v>
      </c>
      <c r="AC37" s="53">
        <v>2</v>
      </c>
      <c r="AD37" s="58">
        <f t="shared" si="60"/>
        <v>165000</v>
      </c>
      <c r="AE37" s="58">
        <f t="shared" ref="AE37:AE68" si="69">+AD37*$C$1</f>
        <v>712087200</v>
      </c>
      <c r="AF37" s="53">
        <v>82500</v>
      </c>
      <c r="AG37" s="53">
        <v>2</v>
      </c>
      <c r="AH37" s="58">
        <f t="shared" si="61"/>
        <v>165000</v>
      </c>
      <c r="AI37" s="58">
        <f t="shared" ref="AI37:AI68" si="70">+AH37*$C$1</f>
        <v>712087200</v>
      </c>
      <c r="AJ37" s="53">
        <v>82500</v>
      </c>
      <c r="AK37" s="53">
        <v>2</v>
      </c>
      <c r="AL37" s="58">
        <f t="shared" si="62"/>
        <v>165000</v>
      </c>
      <c r="AM37" s="58">
        <f t="shared" ref="AM37:AM68" si="71">+AL37*$C$1</f>
        <v>712087200</v>
      </c>
    </row>
    <row r="38" spans="1:39" x14ac:dyDescent="0.25">
      <c r="A38" s="51">
        <v>6.04</v>
      </c>
      <c r="B38" s="52" t="s">
        <v>151</v>
      </c>
      <c r="C38" s="53" t="s">
        <v>128</v>
      </c>
      <c r="D38" s="53">
        <v>224398.78487078554</v>
      </c>
      <c r="E38" s="53">
        <v>1</v>
      </c>
      <c r="F38" s="58">
        <f t="shared" si="54"/>
        <v>224398.78487078554</v>
      </c>
      <c r="G38" s="58">
        <f t="shared" si="63"/>
        <v>968433347.89115179</v>
      </c>
      <c r="H38" s="53">
        <v>224398.78487078554</v>
      </c>
      <c r="I38" s="53">
        <v>1</v>
      </c>
      <c r="J38" s="58">
        <f t="shared" si="55"/>
        <v>224398.78487078554</v>
      </c>
      <c r="K38" s="58">
        <f t="shared" si="64"/>
        <v>968433347.89115179</v>
      </c>
      <c r="L38" s="53">
        <v>224398.78487078554</v>
      </c>
      <c r="M38" s="53">
        <v>1</v>
      </c>
      <c r="N38" s="58">
        <f t="shared" si="56"/>
        <v>224398.78487078554</v>
      </c>
      <c r="O38" s="58">
        <f t="shared" si="65"/>
        <v>968433347.89115179</v>
      </c>
      <c r="P38" s="53">
        <v>159000</v>
      </c>
      <c r="Q38" s="53">
        <v>1</v>
      </c>
      <c r="R38" s="58">
        <f t="shared" si="57"/>
        <v>159000</v>
      </c>
      <c r="S38" s="58">
        <f t="shared" si="66"/>
        <v>686193120</v>
      </c>
      <c r="T38" s="53">
        <v>159000</v>
      </c>
      <c r="U38" s="53">
        <v>1</v>
      </c>
      <c r="V38" s="58">
        <f t="shared" si="58"/>
        <v>159000</v>
      </c>
      <c r="W38" s="58">
        <f t="shared" si="67"/>
        <v>686193120</v>
      </c>
      <c r="X38" s="53">
        <v>159000</v>
      </c>
      <c r="Y38" s="53">
        <v>1</v>
      </c>
      <c r="Z38" s="58">
        <f t="shared" si="59"/>
        <v>159000</v>
      </c>
      <c r="AA38" s="58">
        <f t="shared" si="68"/>
        <v>686193120</v>
      </c>
      <c r="AB38" s="53">
        <v>159000</v>
      </c>
      <c r="AC38" s="53">
        <v>1</v>
      </c>
      <c r="AD38" s="58">
        <f t="shared" si="60"/>
        <v>159000</v>
      </c>
      <c r="AE38" s="58">
        <f t="shared" si="69"/>
        <v>686193120</v>
      </c>
      <c r="AF38" s="53">
        <v>159000</v>
      </c>
      <c r="AG38" s="53">
        <v>1</v>
      </c>
      <c r="AH38" s="58">
        <f t="shared" si="61"/>
        <v>159000</v>
      </c>
      <c r="AI38" s="58">
        <f t="shared" si="70"/>
        <v>686193120</v>
      </c>
      <c r="AJ38" s="53">
        <v>159000</v>
      </c>
      <c r="AK38" s="53">
        <v>1</v>
      </c>
      <c r="AL38" s="58">
        <f t="shared" si="62"/>
        <v>159000</v>
      </c>
      <c r="AM38" s="58">
        <f t="shared" si="71"/>
        <v>686193120</v>
      </c>
    </row>
    <row r="39" spans="1:39" x14ac:dyDescent="0.25">
      <c r="A39" s="54">
        <v>7</v>
      </c>
      <c r="B39" s="55" t="s">
        <v>20</v>
      </c>
      <c r="C39" s="56"/>
      <c r="D39" s="56"/>
      <c r="E39" s="56"/>
      <c r="F39" s="57">
        <f>+SUM(F40:F41)</f>
        <v>1084910</v>
      </c>
      <c r="G39" s="57">
        <f t="shared" si="63"/>
        <v>4682124388.8000002</v>
      </c>
      <c r="H39" s="56"/>
      <c r="I39" s="56"/>
      <c r="J39" s="57">
        <f>+SUM(J40:J41)</f>
        <v>1036150</v>
      </c>
      <c r="K39" s="57">
        <f t="shared" si="64"/>
        <v>4471691832</v>
      </c>
      <c r="L39" s="56"/>
      <c r="M39" s="56"/>
      <c r="N39" s="57">
        <f>+SUM(N40:N41)</f>
        <v>1121480</v>
      </c>
      <c r="O39" s="57">
        <f t="shared" si="65"/>
        <v>4839948806.4000006</v>
      </c>
      <c r="P39" s="56"/>
      <c r="Q39" s="56"/>
      <c r="R39" s="57">
        <f>+SUM(R40:R41)</f>
        <v>646070</v>
      </c>
      <c r="S39" s="57">
        <f t="shared" si="66"/>
        <v>2788231377.6000004</v>
      </c>
      <c r="T39" s="56"/>
      <c r="U39" s="56"/>
      <c r="V39" s="57">
        <f>+SUM(V40:V41)</f>
        <v>585120</v>
      </c>
      <c r="W39" s="57">
        <f t="shared" si="67"/>
        <v>2525190681.6000004</v>
      </c>
      <c r="X39" s="56"/>
      <c r="Y39" s="56"/>
      <c r="Z39" s="57">
        <f>+SUM(Z40:Z41)</f>
        <v>682640</v>
      </c>
      <c r="AA39" s="57">
        <f t="shared" si="68"/>
        <v>2946055795.2000003</v>
      </c>
      <c r="AB39" s="56"/>
      <c r="AC39" s="56"/>
      <c r="AD39" s="57">
        <f>+SUM(AD40:AD41)</f>
        <v>828920</v>
      </c>
      <c r="AE39" s="57">
        <f t="shared" si="69"/>
        <v>3577353465.6000004</v>
      </c>
      <c r="AF39" s="56"/>
      <c r="AG39" s="56"/>
      <c r="AH39" s="57">
        <f>+SUM(AH40:AH41)</f>
        <v>999580</v>
      </c>
      <c r="AI39" s="57">
        <f t="shared" si="70"/>
        <v>4313867414.4000006</v>
      </c>
      <c r="AJ39" s="56"/>
      <c r="AK39" s="56"/>
      <c r="AL39" s="57">
        <f>+SUM(AL40:AL41)</f>
        <v>1060530</v>
      </c>
      <c r="AM39" s="57">
        <f t="shared" si="71"/>
        <v>4576908110.4000006</v>
      </c>
    </row>
    <row r="40" spans="1:39" x14ac:dyDescent="0.25">
      <c r="A40" s="51">
        <v>7.01</v>
      </c>
      <c r="B40" s="52" t="s">
        <v>33</v>
      </c>
      <c r="C40" s="53" t="s">
        <v>130</v>
      </c>
      <c r="D40" s="53">
        <v>10600</v>
      </c>
      <c r="E40" s="53">
        <v>89</v>
      </c>
      <c r="F40" s="58">
        <f t="shared" ref="F40:F41" si="72">+E40*D40</f>
        <v>943400</v>
      </c>
      <c r="G40" s="58">
        <f t="shared" si="63"/>
        <v>4071412512.0000005</v>
      </c>
      <c r="H40" s="53">
        <v>10600</v>
      </c>
      <c r="I40" s="53">
        <v>85</v>
      </c>
      <c r="J40" s="58">
        <f t="shared" ref="J40:J41" si="73">+I40*H40</f>
        <v>901000</v>
      </c>
      <c r="K40" s="58">
        <f t="shared" si="64"/>
        <v>3888427680.0000005</v>
      </c>
      <c r="L40" s="53">
        <v>10600</v>
      </c>
      <c r="M40" s="53">
        <v>92</v>
      </c>
      <c r="N40" s="58">
        <f t="shared" ref="N40:N41" si="74">+M40*L40</f>
        <v>975200</v>
      </c>
      <c r="O40" s="58">
        <f t="shared" si="65"/>
        <v>4208651136.0000005</v>
      </c>
      <c r="P40" s="53">
        <v>10600</v>
      </c>
      <c r="Q40" s="53">
        <v>53</v>
      </c>
      <c r="R40" s="58">
        <f t="shared" ref="R40:R41" si="75">+Q40*P40</f>
        <v>561800</v>
      </c>
      <c r="S40" s="58">
        <f t="shared" si="66"/>
        <v>2424549024</v>
      </c>
      <c r="T40" s="53">
        <v>10600</v>
      </c>
      <c r="U40" s="53">
        <v>48</v>
      </c>
      <c r="V40" s="58">
        <f t="shared" ref="V40:V41" si="76">+U40*T40</f>
        <v>508800</v>
      </c>
      <c r="W40" s="58">
        <f t="shared" si="67"/>
        <v>2195817984</v>
      </c>
      <c r="X40" s="53">
        <v>10600</v>
      </c>
      <c r="Y40" s="53">
        <v>56</v>
      </c>
      <c r="Z40" s="58">
        <f t="shared" ref="Z40:Z41" si="77">+Y40*X40</f>
        <v>593600</v>
      </c>
      <c r="AA40" s="58">
        <f t="shared" si="68"/>
        <v>2561787648</v>
      </c>
      <c r="AB40" s="53">
        <v>10600</v>
      </c>
      <c r="AC40" s="53">
        <v>68</v>
      </c>
      <c r="AD40" s="58">
        <f t="shared" ref="AD40:AD41" si="78">+AC40*AB40</f>
        <v>720800</v>
      </c>
      <c r="AE40" s="58">
        <f t="shared" si="69"/>
        <v>3110742144</v>
      </c>
      <c r="AF40" s="53">
        <v>10600</v>
      </c>
      <c r="AG40" s="53">
        <v>82</v>
      </c>
      <c r="AH40" s="58">
        <f t="shared" ref="AH40:AH41" si="79">+AG40*AF40</f>
        <v>869200</v>
      </c>
      <c r="AI40" s="58">
        <f t="shared" si="70"/>
        <v>3751189056.0000005</v>
      </c>
      <c r="AJ40" s="53">
        <v>10600</v>
      </c>
      <c r="AK40" s="53">
        <v>87</v>
      </c>
      <c r="AL40" s="58">
        <f t="shared" ref="AL40:AL41" si="80">+AK40*AJ40</f>
        <v>922200</v>
      </c>
      <c r="AM40" s="58">
        <f t="shared" si="71"/>
        <v>3979920096.0000005</v>
      </c>
    </row>
    <row r="41" spans="1:39" x14ac:dyDescent="0.25">
      <c r="A41" s="51">
        <v>7.02</v>
      </c>
      <c r="B41" s="52" t="s">
        <v>21</v>
      </c>
      <c r="C41" s="53" t="s">
        <v>130</v>
      </c>
      <c r="D41" s="53">
        <v>1590</v>
      </c>
      <c r="E41" s="53">
        <v>89</v>
      </c>
      <c r="F41" s="58">
        <f t="shared" si="72"/>
        <v>141510</v>
      </c>
      <c r="G41" s="58">
        <f t="shared" si="63"/>
        <v>610711876.80000007</v>
      </c>
      <c r="H41" s="53">
        <v>1590</v>
      </c>
      <c r="I41" s="53">
        <v>85</v>
      </c>
      <c r="J41" s="58">
        <f t="shared" si="73"/>
        <v>135150</v>
      </c>
      <c r="K41" s="58">
        <f t="shared" si="64"/>
        <v>583264152</v>
      </c>
      <c r="L41" s="53">
        <v>1590</v>
      </c>
      <c r="M41" s="53">
        <v>92</v>
      </c>
      <c r="N41" s="58">
        <f t="shared" si="74"/>
        <v>146280</v>
      </c>
      <c r="O41" s="58">
        <f t="shared" si="65"/>
        <v>631297670.4000001</v>
      </c>
      <c r="P41" s="53">
        <v>1590</v>
      </c>
      <c r="Q41" s="53">
        <v>53</v>
      </c>
      <c r="R41" s="58">
        <f t="shared" si="75"/>
        <v>84270</v>
      </c>
      <c r="S41" s="58">
        <f t="shared" si="66"/>
        <v>363682353.60000002</v>
      </c>
      <c r="T41" s="53">
        <v>1590</v>
      </c>
      <c r="U41" s="53">
        <v>48</v>
      </c>
      <c r="V41" s="58">
        <f t="shared" si="76"/>
        <v>76320</v>
      </c>
      <c r="W41" s="58">
        <f t="shared" si="67"/>
        <v>329372697.60000002</v>
      </c>
      <c r="X41" s="53">
        <v>1590</v>
      </c>
      <c r="Y41" s="53">
        <v>56</v>
      </c>
      <c r="Z41" s="58">
        <f t="shared" si="77"/>
        <v>89040</v>
      </c>
      <c r="AA41" s="58">
        <f t="shared" si="68"/>
        <v>384268147.20000005</v>
      </c>
      <c r="AB41" s="53">
        <v>1590</v>
      </c>
      <c r="AC41" s="53">
        <v>68</v>
      </c>
      <c r="AD41" s="58">
        <f t="shared" si="78"/>
        <v>108120</v>
      </c>
      <c r="AE41" s="58">
        <f t="shared" si="69"/>
        <v>466611321.60000002</v>
      </c>
      <c r="AF41" s="53">
        <v>1590</v>
      </c>
      <c r="AG41" s="53">
        <v>82</v>
      </c>
      <c r="AH41" s="58">
        <f t="shared" si="79"/>
        <v>130380</v>
      </c>
      <c r="AI41" s="58">
        <f t="shared" si="70"/>
        <v>562678358.4000001</v>
      </c>
      <c r="AJ41" s="53">
        <v>1590</v>
      </c>
      <c r="AK41" s="53">
        <v>87</v>
      </c>
      <c r="AL41" s="58">
        <f t="shared" si="80"/>
        <v>138330</v>
      </c>
      <c r="AM41" s="58">
        <f t="shared" si="71"/>
        <v>596988014.4000001</v>
      </c>
    </row>
    <row r="42" spans="1:39" x14ac:dyDescent="0.25">
      <c r="A42" s="54">
        <v>8</v>
      </c>
      <c r="B42" s="55" t="s">
        <v>22</v>
      </c>
      <c r="C42" s="56"/>
      <c r="D42" s="56"/>
      <c r="E42" s="56"/>
      <c r="F42" s="57">
        <f>+F43</f>
        <v>349800</v>
      </c>
      <c r="G42" s="57">
        <f t="shared" si="63"/>
        <v>1509624864</v>
      </c>
      <c r="H42" s="56"/>
      <c r="I42" s="56"/>
      <c r="J42" s="57">
        <f>+J43</f>
        <v>349800</v>
      </c>
      <c r="K42" s="57">
        <f t="shared" si="64"/>
        <v>1509624864</v>
      </c>
      <c r="L42" s="56"/>
      <c r="M42" s="56"/>
      <c r="N42" s="57">
        <f>+N43</f>
        <v>349800</v>
      </c>
      <c r="O42" s="57">
        <f t="shared" si="65"/>
        <v>1509624864</v>
      </c>
      <c r="P42" s="56"/>
      <c r="Q42" s="56"/>
      <c r="R42" s="57">
        <f>+R43</f>
        <v>318000</v>
      </c>
      <c r="S42" s="57">
        <f t="shared" si="66"/>
        <v>1372386240</v>
      </c>
      <c r="T42" s="56"/>
      <c r="U42" s="56"/>
      <c r="V42" s="57">
        <f>+V43</f>
        <v>318000</v>
      </c>
      <c r="W42" s="57">
        <f t="shared" si="67"/>
        <v>1372386240</v>
      </c>
      <c r="X42" s="56"/>
      <c r="Y42" s="56"/>
      <c r="Z42" s="57">
        <f>+Z43</f>
        <v>318000</v>
      </c>
      <c r="AA42" s="57">
        <f t="shared" si="68"/>
        <v>1372386240</v>
      </c>
      <c r="AB42" s="56"/>
      <c r="AC42" s="56"/>
      <c r="AD42" s="57">
        <f>+AD43</f>
        <v>318000</v>
      </c>
      <c r="AE42" s="57">
        <f t="shared" si="69"/>
        <v>1372386240</v>
      </c>
      <c r="AF42" s="56"/>
      <c r="AG42" s="56"/>
      <c r="AH42" s="57">
        <f>+AH43</f>
        <v>318000</v>
      </c>
      <c r="AI42" s="57">
        <f t="shared" si="70"/>
        <v>1372386240</v>
      </c>
      <c r="AJ42" s="56"/>
      <c r="AK42" s="56"/>
      <c r="AL42" s="57">
        <f>+AL43</f>
        <v>318000</v>
      </c>
      <c r="AM42" s="57">
        <f t="shared" si="71"/>
        <v>1372386240</v>
      </c>
    </row>
    <row r="43" spans="1:39" x14ac:dyDescent="0.25">
      <c r="A43" s="51">
        <v>8.01</v>
      </c>
      <c r="B43" s="52" t="s">
        <v>40</v>
      </c>
      <c r="C43" s="53" t="s">
        <v>128</v>
      </c>
      <c r="D43" s="53">
        <v>349800</v>
      </c>
      <c r="E43" s="53">
        <v>1</v>
      </c>
      <c r="F43" s="58">
        <f t="shared" ref="F43" si="81">+E43*D43</f>
        <v>349800</v>
      </c>
      <c r="G43" s="58">
        <f t="shared" si="63"/>
        <v>1509624864</v>
      </c>
      <c r="H43" s="53">
        <v>349800</v>
      </c>
      <c r="I43" s="53">
        <v>1</v>
      </c>
      <c r="J43" s="58">
        <f t="shared" ref="J43" si="82">+I43*H43</f>
        <v>349800</v>
      </c>
      <c r="K43" s="58">
        <f t="shared" si="64"/>
        <v>1509624864</v>
      </c>
      <c r="L43" s="53">
        <v>349800</v>
      </c>
      <c r="M43" s="53">
        <v>1</v>
      </c>
      <c r="N43" s="58">
        <f t="shared" ref="N43" si="83">+M43*L43</f>
        <v>349800</v>
      </c>
      <c r="O43" s="58">
        <f t="shared" si="65"/>
        <v>1509624864</v>
      </c>
      <c r="P43" s="53">
        <v>318000</v>
      </c>
      <c r="Q43" s="53">
        <v>1</v>
      </c>
      <c r="R43" s="58">
        <f t="shared" ref="R43" si="84">+Q43*P43</f>
        <v>318000</v>
      </c>
      <c r="S43" s="58">
        <f t="shared" si="66"/>
        <v>1372386240</v>
      </c>
      <c r="T43" s="53">
        <v>318000</v>
      </c>
      <c r="U43" s="53">
        <v>1</v>
      </c>
      <c r="V43" s="58">
        <f t="shared" ref="V43" si="85">+U43*T43</f>
        <v>318000</v>
      </c>
      <c r="W43" s="58">
        <f t="shared" si="67"/>
        <v>1372386240</v>
      </c>
      <c r="X43" s="53">
        <v>318000</v>
      </c>
      <c r="Y43" s="53">
        <v>1</v>
      </c>
      <c r="Z43" s="58">
        <f t="shared" ref="Z43" si="86">+Y43*X43</f>
        <v>318000</v>
      </c>
      <c r="AA43" s="58">
        <f t="shared" si="68"/>
        <v>1372386240</v>
      </c>
      <c r="AB43" s="53">
        <v>318000</v>
      </c>
      <c r="AC43" s="53">
        <v>1</v>
      </c>
      <c r="AD43" s="58">
        <f t="shared" ref="AD43" si="87">+AC43*AB43</f>
        <v>318000</v>
      </c>
      <c r="AE43" s="58">
        <f t="shared" si="69"/>
        <v>1372386240</v>
      </c>
      <c r="AF43" s="53">
        <v>318000</v>
      </c>
      <c r="AG43" s="53">
        <v>1</v>
      </c>
      <c r="AH43" s="58">
        <f t="shared" ref="AH43" si="88">+AG43*AF43</f>
        <v>318000</v>
      </c>
      <c r="AI43" s="58">
        <f t="shared" si="70"/>
        <v>1372386240</v>
      </c>
      <c r="AJ43" s="53">
        <v>318000</v>
      </c>
      <c r="AK43" s="53">
        <v>1</v>
      </c>
      <c r="AL43" s="58">
        <f t="shared" ref="AL43" si="89">+AK43*AJ43</f>
        <v>318000</v>
      </c>
      <c r="AM43" s="58">
        <f t="shared" si="71"/>
        <v>1372386240</v>
      </c>
    </row>
    <row r="44" spans="1:39" x14ac:dyDescent="0.25">
      <c r="A44" s="54">
        <v>9</v>
      </c>
      <c r="B44" s="55" t="s">
        <v>23</v>
      </c>
      <c r="C44" s="56"/>
      <c r="D44" s="56"/>
      <c r="E44" s="56"/>
      <c r="F44" s="57">
        <f>+SUM(F45:F52)</f>
        <v>1294038.0403823236</v>
      </c>
      <c r="G44" s="57">
        <f t="shared" si="63"/>
        <v>5584654090.1171865</v>
      </c>
      <c r="H44" s="56"/>
      <c r="I44" s="56"/>
      <c r="J44" s="57">
        <f>+SUM(J45:J52)</f>
        <v>1290574.1821096586</v>
      </c>
      <c r="K44" s="57">
        <f t="shared" si="64"/>
        <v>5569705186.2470121</v>
      </c>
      <c r="L44" s="56"/>
      <c r="M44" s="56"/>
      <c r="N44" s="57">
        <f>+SUM(N45:N52)</f>
        <v>1296347.2792307672</v>
      </c>
      <c r="O44" s="57">
        <f t="shared" si="65"/>
        <v>5594620026.0306377</v>
      </c>
      <c r="P44" s="56"/>
      <c r="Q44" s="56"/>
      <c r="R44" s="57">
        <f>+SUM(R45:R52)</f>
        <v>1078287.984308382</v>
      </c>
      <c r="S44" s="57">
        <f t="shared" si="66"/>
        <v>4653545888.1199989</v>
      </c>
      <c r="T44" s="56"/>
      <c r="U44" s="56"/>
      <c r="V44" s="57">
        <f>+SUM(V45:V52)</f>
        <v>1075170.5118629835</v>
      </c>
      <c r="W44" s="57">
        <f t="shared" si="67"/>
        <v>4640091874.6368408</v>
      </c>
      <c r="X44" s="56"/>
      <c r="Y44" s="56"/>
      <c r="Z44" s="57">
        <f>+SUM(Z45:Z52)</f>
        <v>1080366.299271981</v>
      </c>
      <c r="AA44" s="57">
        <f t="shared" si="68"/>
        <v>4662515230.4421034</v>
      </c>
      <c r="AB44" s="56"/>
      <c r="AC44" s="56"/>
      <c r="AD44" s="57">
        <f>+SUM(AD45:AD52)</f>
        <v>1081405.4567537806</v>
      </c>
      <c r="AE44" s="57">
        <f t="shared" si="69"/>
        <v>4666999901.6031561</v>
      </c>
      <c r="AF44" s="56"/>
      <c r="AG44" s="56"/>
      <c r="AH44" s="57">
        <f>+SUM(AH45:AH52)</f>
        <v>1088679.5591263773</v>
      </c>
      <c r="AI44" s="57">
        <f t="shared" si="70"/>
        <v>4698392599.7305241</v>
      </c>
      <c r="AJ44" s="56"/>
      <c r="AK44" s="56"/>
      <c r="AL44" s="57">
        <f>+SUM(AL45:AL52)</f>
        <v>1091797.0315717759</v>
      </c>
      <c r="AM44" s="57">
        <f t="shared" si="71"/>
        <v>4711846613.2136822</v>
      </c>
    </row>
    <row r="45" spans="1:39" ht="18" x14ac:dyDescent="0.25">
      <c r="A45" s="51">
        <v>9.01</v>
      </c>
      <c r="B45" s="52" t="s">
        <v>154</v>
      </c>
      <c r="C45" s="53" t="s">
        <v>5</v>
      </c>
      <c r="D45" s="53">
        <v>173930.66832106793</v>
      </c>
      <c r="E45" s="53">
        <v>2</v>
      </c>
      <c r="F45" s="58">
        <f t="shared" ref="F45:F48" si="90">+E45*D45</f>
        <v>347861.33664213587</v>
      </c>
      <c r="G45" s="58">
        <f t="shared" si="63"/>
        <v>1501258213.3197329</v>
      </c>
      <c r="H45" s="53">
        <v>173930.66832106793</v>
      </c>
      <c r="I45" s="53">
        <v>2</v>
      </c>
      <c r="J45" s="58">
        <f t="shared" ref="J45:J48" si="91">+I45*H45</f>
        <v>347861.33664213587</v>
      </c>
      <c r="K45" s="58">
        <f t="shared" si="64"/>
        <v>1501258213.3197329</v>
      </c>
      <c r="L45" s="53">
        <v>173930.66832106793</v>
      </c>
      <c r="M45" s="53">
        <v>2</v>
      </c>
      <c r="N45" s="58">
        <f t="shared" ref="N45:N48" si="92">+M45*L45</f>
        <v>347861.33664213587</v>
      </c>
      <c r="O45" s="58">
        <f t="shared" si="65"/>
        <v>1501258213.3197329</v>
      </c>
      <c r="P45" s="53">
        <v>159000</v>
      </c>
      <c r="Q45" s="53">
        <v>2</v>
      </c>
      <c r="R45" s="58">
        <f t="shared" ref="R45:R48" si="93">+Q45*P45</f>
        <v>318000</v>
      </c>
      <c r="S45" s="58">
        <f t="shared" si="66"/>
        <v>1372386240</v>
      </c>
      <c r="T45" s="53">
        <v>159000</v>
      </c>
      <c r="U45" s="53">
        <v>2</v>
      </c>
      <c r="V45" s="58">
        <f t="shared" ref="V45:V48" si="94">+U45*T45</f>
        <v>318000</v>
      </c>
      <c r="W45" s="58">
        <f t="shared" si="67"/>
        <v>1372386240</v>
      </c>
      <c r="X45" s="53">
        <v>159000</v>
      </c>
      <c r="Y45" s="53">
        <v>2</v>
      </c>
      <c r="Z45" s="58">
        <f t="shared" ref="Z45:Z48" si="95">+Y45*X45</f>
        <v>318000</v>
      </c>
      <c r="AA45" s="58">
        <f t="shared" si="68"/>
        <v>1372386240</v>
      </c>
      <c r="AB45" s="53">
        <v>159000</v>
      </c>
      <c r="AC45" s="53">
        <v>2</v>
      </c>
      <c r="AD45" s="58">
        <f t="shared" ref="AD45:AD48" si="96">+AC45*AB45</f>
        <v>318000</v>
      </c>
      <c r="AE45" s="58">
        <f t="shared" si="69"/>
        <v>1372386240</v>
      </c>
      <c r="AF45" s="53">
        <v>159000</v>
      </c>
      <c r="AG45" s="53">
        <v>2</v>
      </c>
      <c r="AH45" s="58">
        <f t="shared" ref="AH45:AH48" si="97">+AG45*AF45</f>
        <v>318000</v>
      </c>
      <c r="AI45" s="58">
        <f t="shared" si="70"/>
        <v>1372386240</v>
      </c>
      <c r="AJ45" s="53">
        <v>159000</v>
      </c>
      <c r="AK45" s="53">
        <v>2</v>
      </c>
      <c r="AL45" s="58">
        <f t="shared" ref="AL45:AL48" si="98">+AK45*AJ45</f>
        <v>318000</v>
      </c>
      <c r="AM45" s="58">
        <f t="shared" si="71"/>
        <v>1372386240</v>
      </c>
    </row>
    <row r="46" spans="1:39" ht="27" x14ac:dyDescent="0.25">
      <c r="A46" s="51">
        <v>9.02</v>
      </c>
      <c r="B46" s="52" t="s">
        <v>153</v>
      </c>
      <c r="C46" s="53" t="s">
        <v>132</v>
      </c>
      <c r="D46" s="53">
        <v>310.17363212812666</v>
      </c>
      <c r="E46" s="53">
        <v>81</v>
      </c>
      <c r="F46" s="58">
        <f t="shared" si="90"/>
        <v>25124.06420237826</v>
      </c>
      <c r="G46" s="58">
        <f t="shared" si="63"/>
        <v>108427421.39691982</v>
      </c>
      <c r="H46" s="53">
        <v>310.17363212812666</v>
      </c>
      <c r="I46" s="53">
        <v>78</v>
      </c>
      <c r="J46" s="58">
        <f t="shared" si="91"/>
        <v>24193.54330599388</v>
      </c>
      <c r="K46" s="58">
        <f t="shared" si="64"/>
        <v>104411590.97481167</v>
      </c>
      <c r="L46" s="53">
        <v>310.17363212812666</v>
      </c>
      <c r="M46" s="53">
        <v>83</v>
      </c>
      <c r="N46" s="58">
        <f t="shared" si="92"/>
        <v>25744.411466634512</v>
      </c>
      <c r="O46" s="58">
        <f t="shared" si="65"/>
        <v>111104641.67832524</v>
      </c>
      <c r="P46" s="53">
        <v>279.156268915314</v>
      </c>
      <c r="Q46" s="53">
        <v>38</v>
      </c>
      <c r="R46" s="58">
        <f t="shared" si="93"/>
        <v>10607.938218781932</v>
      </c>
      <c r="S46" s="58">
        <f t="shared" si="66"/>
        <v>45780466.812032811</v>
      </c>
      <c r="T46" s="53">
        <v>279.156268915314</v>
      </c>
      <c r="U46" s="53">
        <v>35</v>
      </c>
      <c r="V46" s="58">
        <f t="shared" si="94"/>
        <v>9770.4694120359909</v>
      </c>
      <c r="W46" s="58">
        <f t="shared" si="67"/>
        <v>42166219.432135485</v>
      </c>
      <c r="X46" s="53">
        <v>279.156268915314</v>
      </c>
      <c r="Y46" s="53">
        <v>40</v>
      </c>
      <c r="Z46" s="58">
        <f t="shared" si="95"/>
        <v>11166.250756612561</v>
      </c>
      <c r="AA46" s="58">
        <f t="shared" si="68"/>
        <v>48189965.0652977</v>
      </c>
      <c r="AB46" s="53">
        <v>279.156268915314</v>
      </c>
      <c r="AC46" s="53">
        <v>41</v>
      </c>
      <c r="AD46" s="58">
        <f t="shared" si="96"/>
        <v>11445.407025527875</v>
      </c>
      <c r="AE46" s="58">
        <f t="shared" si="69"/>
        <v>49394714.191930145</v>
      </c>
      <c r="AF46" s="53">
        <v>279.156268915314</v>
      </c>
      <c r="AG46" s="53">
        <v>48</v>
      </c>
      <c r="AH46" s="58">
        <f t="shared" si="97"/>
        <v>13399.500907935071</v>
      </c>
      <c r="AI46" s="58">
        <f t="shared" si="70"/>
        <v>57827958.078357235</v>
      </c>
      <c r="AJ46" s="53">
        <v>279.156268915314</v>
      </c>
      <c r="AK46" s="53">
        <v>51</v>
      </c>
      <c r="AL46" s="58">
        <f t="shared" si="98"/>
        <v>14236.969714681014</v>
      </c>
      <c r="AM46" s="58">
        <f t="shared" si="71"/>
        <v>61442205.458254561</v>
      </c>
    </row>
    <row r="47" spans="1:39" x14ac:dyDescent="0.25">
      <c r="A47" s="51">
        <v>9.0299999999999994</v>
      </c>
      <c r="B47" s="52" t="s">
        <v>38</v>
      </c>
      <c r="C47" s="53" t="s">
        <v>5</v>
      </c>
      <c r="D47" s="53">
        <v>25440</v>
      </c>
      <c r="E47" s="53">
        <v>0</v>
      </c>
      <c r="F47" s="58">
        <f t="shared" si="90"/>
        <v>0</v>
      </c>
      <c r="G47" s="58">
        <f t="shared" si="63"/>
        <v>0</v>
      </c>
      <c r="H47" s="53">
        <v>25440</v>
      </c>
      <c r="I47" s="53">
        <v>0</v>
      </c>
      <c r="J47" s="58">
        <f t="shared" si="91"/>
        <v>0</v>
      </c>
      <c r="K47" s="58">
        <f t="shared" si="64"/>
        <v>0</v>
      </c>
      <c r="L47" s="53">
        <v>25440</v>
      </c>
      <c r="M47" s="53">
        <v>0</v>
      </c>
      <c r="N47" s="58">
        <f t="shared" si="92"/>
        <v>0</v>
      </c>
      <c r="O47" s="58">
        <f t="shared" si="65"/>
        <v>0</v>
      </c>
      <c r="P47" s="53">
        <v>21200</v>
      </c>
      <c r="Q47" s="53">
        <v>0</v>
      </c>
      <c r="R47" s="58">
        <f t="shared" si="93"/>
        <v>0</v>
      </c>
      <c r="S47" s="58">
        <f t="shared" si="66"/>
        <v>0</v>
      </c>
      <c r="T47" s="53">
        <v>21200</v>
      </c>
      <c r="U47" s="53">
        <v>0</v>
      </c>
      <c r="V47" s="58">
        <f t="shared" si="94"/>
        <v>0</v>
      </c>
      <c r="W47" s="58">
        <f t="shared" si="67"/>
        <v>0</v>
      </c>
      <c r="X47" s="53">
        <v>21200</v>
      </c>
      <c r="Y47" s="53">
        <v>0</v>
      </c>
      <c r="Z47" s="58">
        <f t="shared" si="95"/>
        <v>0</v>
      </c>
      <c r="AA47" s="58">
        <f t="shared" si="68"/>
        <v>0</v>
      </c>
      <c r="AB47" s="53">
        <v>21200</v>
      </c>
      <c r="AC47" s="53">
        <v>0</v>
      </c>
      <c r="AD47" s="58">
        <f t="shared" si="96"/>
        <v>0</v>
      </c>
      <c r="AE47" s="58">
        <f t="shared" si="69"/>
        <v>0</v>
      </c>
      <c r="AF47" s="53">
        <v>21200</v>
      </c>
      <c r="AG47" s="53">
        <v>0</v>
      </c>
      <c r="AH47" s="58">
        <f t="shared" si="97"/>
        <v>0</v>
      </c>
      <c r="AI47" s="58">
        <f t="shared" si="70"/>
        <v>0</v>
      </c>
      <c r="AJ47" s="53">
        <v>21200</v>
      </c>
      <c r="AK47" s="53">
        <v>0</v>
      </c>
      <c r="AL47" s="58">
        <f t="shared" si="98"/>
        <v>0</v>
      </c>
      <c r="AM47" s="58">
        <f t="shared" si="71"/>
        <v>0</v>
      </c>
    </row>
    <row r="48" spans="1:39" x14ac:dyDescent="0.25">
      <c r="A48" s="51">
        <v>9.0399999999999991</v>
      </c>
      <c r="B48" s="52" t="s">
        <v>24</v>
      </c>
      <c r="C48" s="53" t="s">
        <v>128</v>
      </c>
      <c r="D48" s="53">
        <v>466400.00000000006</v>
      </c>
      <c r="E48" s="53">
        <v>1</v>
      </c>
      <c r="F48" s="58">
        <f t="shared" si="90"/>
        <v>466400.00000000006</v>
      </c>
      <c r="G48" s="58">
        <f t="shared" si="63"/>
        <v>2012833152.0000005</v>
      </c>
      <c r="H48" s="53">
        <v>466400.00000000006</v>
      </c>
      <c r="I48" s="53">
        <v>1</v>
      </c>
      <c r="J48" s="58">
        <f t="shared" si="91"/>
        <v>466400.00000000006</v>
      </c>
      <c r="K48" s="58">
        <f t="shared" si="64"/>
        <v>2012833152.0000005</v>
      </c>
      <c r="L48" s="53">
        <v>466400.00000000006</v>
      </c>
      <c r="M48" s="53">
        <v>1</v>
      </c>
      <c r="N48" s="58">
        <f t="shared" si="92"/>
        <v>466400.00000000006</v>
      </c>
      <c r="O48" s="58">
        <f t="shared" si="65"/>
        <v>2012833152.0000005</v>
      </c>
      <c r="P48" s="53">
        <v>424000</v>
      </c>
      <c r="Q48" s="53">
        <v>1</v>
      </c>
      <c r="R48" s="58">
        <f t="shared" si="93"/>
        <v>424000</v>
      </c>
      <c r="S48" s="58">
        <f t="shared" si="66"/>
        <v>1829848320.0000002</v>
      </c>
      <c r="T48" s="53">
        <v>424000</v>
      </c>
      <c r="U48" s="53">
        <v>1</v>
      </c>
      <c r="V48" s="58">
        <f t="shared" si="94"/>
        <v>424000</v>
      </c>
      <c r="W48" s="58">
        <f t="shared" si="67"/>
        <v>1829848320.0000002</v>
      </c>
      <c r="X48" s="53">
        <v>424000</v>
      </c>
      <c r="Y48" s="53">
        <v>1</v>
      </c>
      <c r="Z48" s="58">
        <f t="shared" si="95"/>
        <v>424000</v>
      </c>
      <c r="AA48" s="58">
        <f t="shared" si="68"/>
        <v>1829848320.0000002</v>
      </c>
      <c r="AB48" s="53">
        <v>424000</v>
      </c>
      <c r="AC48" s="53">
        <v>1</v>
      </c>
      <c r="AD48" s="58">
        <f t="shared" si="96"/>
        <v>424000</v>
      </c>
      <c r="AE48" s="58">
        <f t="shared" si="69"/>
        <v>1829848320.0000002</v>
      </c>
      <c r="AF48" s="53">
        <v>424000</v>
      </c>
      <c r="AG48" s="53">
        <v>1</v>
      </c>
      <c r="AH48" s="58">
        <f t="shared" si="97"/>
        <v>424000</v>
      </c>
      <c r="AI48" s="58">
        <f t="shared" si="70"/>
        <v>1829848320.0000002</v>
      </c>
      <c r="AJ48" s="53">
        <v>424000</v>
      </c>
      <c r="AK48" s="53">
        <v>1</v>
      </c>
      <c r="AL48" s="58">
        <f t="shared" si="98"/>
        <v>424000</v>
      </c>
      <c r="AM48" s="58">
        <f t="shared" si="71"/>
        <v>1829848320.0000002</v>
      </c>
    </row>
    <row r="49" spans="1:39" x14ac:dyDescent="0.25">
      <c r="A49" s="51">
        <v>9.0500000000000007</v>
      </c>
      <c r="B49" s="52" t="s">
        <v>25</v>
      </c>
      <c r="C49" s="53" t="s">
        <v>128</v>
      </c>
      <c r="D49" s="53">
        <v>187584.94637457927</v>
      </c>
      <c r="E49" s="53">
        <v>1</v>
      </c>
      <c r="F49" s="58">
        <f>+E49*D49</f>
        <v>187584.94637457927</v>
      </c>
      <c r="G49" s="58">
        <f t="shared" si="63"/>
        <v>809556601.36984432</v>
      </c>
      <c r="H49" s="53">
        <v>187584.94637457927</v>
      </c>
      <c r="I49" s="53">
        <v>1</v>
      </c>
      <c r="J49" s="58">
        <f>+I49*H49</f>
        <v>187584.94637457927</v>
      </c>
      <c r="K49" s="58">
        <f t="shared" si="64"/>
        <v>809556601.36984432</v>
      </c>
      <c r="L49" s="53">
        <v>187584.94637457927</v>
      </c>
      <c r="M49" s="53">
        <v>1</v>
      </c>
      <c r="N49" s="58">
        <f>+M49*L49</f>
        <v>187584.94637457927</v>
      </c>
      <c r="O49" s="58">
        <f t="shared" si="65"/>
        <v>809556601.36984432</v>
      </c>
      <c r="P49" s="53">
        <v>127200</v>
      </c>
      <c r="Q49" s="53">
        <v>1</v>
      </c>
      <c r="R49" s="58">
        <f>+Q49*P49</f>
        <v>127200</v>
      </c>
      <c r="S49" s="58">
        <f t="shared" si="66"/>
        <v>548954496</v>
      </c>
      <c r="T49" s="53">
        <v>127200</v>
      </c>
      <c r="U49" s="53">
        <v>1</v>
      </c>
      <c r="V49" s="58">
        <f>+U49*T49</f>
        <v>127200</v>
      </c>
      <c r="W49" s="58">
        <f t="shared" si="67"/>
        <v>548954496</v>
      </c>
      <c r="X49" s="53">
        <v>127200</v>
      </c>
      <c r="Y49" s="53">
        <v>1</v>
      </c>
      <c r="Z49" s="58">
        <f>+Y49*X49</f>
        <v>127200</v>
      </c>
      <c r="AA49" s="58">
        <f t="shared" si="68"/>
        <v>548954496</v>
      </c>
      <c r="AB49" s="53">
        <v>127200</v>
      </c>
      <c r="AC49" s="53">
        <v>1</v>
      </c>
      <c r="AD49" s="58">
        <f>+AC49*AB49</f>
        <v>127200</v>
      </c>
      <c r="AE49" s="58">
        <f t="shared" si="69"/>
        <v>548954496</v>
      </c>
      <c r="AF49" s="53">
        <v>127200</v>
      </c>
      <c r="AG49" s="53">
        <v>1</v>
      </c>
      <c r="AH49" s="58">
        <f>+AG49*AF49</f>
        <v>127200</v>
      </c>
      <c r="AI49" s="58">
        <f t="shared" si="70"/>
        <v>548954496</v>
      </c>
      <c r="AJ49" s="53">
        <v>127200</v>
      </c>
      <c r="AK49" s="53">
        <v>1</v>
      </c>
      <c r="AL49" s="58">
        <f>+AK49*AJ49</f>
        <v>127200</v>
      </c>
      <c r="AM49" s="58">
        <f t="shared" si="71"/>
        <v>548954496</v>
      </c>
    </row>
    <row r="50" spans="1:39" x14ac:dyDescent="0.25">
      <c r="A50" s="51">
        <v>9.06</v>
      </c>
      <c r="B50" s="52" t="s">
        <v>26</v>
      </c>
      <c r="C50" s="53" t="s">
        <v>128</v>
      </c>
      <c r="D50" s="53">
        <v>58747.584003651093</v>
      </c>
      <c r="E50" s="53">
        <v>1</v>
      </c>
      <c r="F50" s="58">
        <f t="shared" ref="F50:F51" si="99">+E50*D50</f>
        <v>58747.584003651093</v>
      </c>
      <c r="G50" s="58">
        <f t="shared" si="63"/>
        <v>253535773.33287695</v>
      </c>
      <c r="H50" s="53">
        <v>58747.584003651093</v>
      </c>
      <c r="I50" s="53">
        <v>1</v>
      </c>
      <c r="J50" s="58">
        <f t="shared" ref="J50:J51" si="100">+I50*H50</f>
        <v>58747.584003651093</v>
      </c>
      <c r="K50" s="58">
        <f t="shared" si="64"/>
        <v>253535773.33287695</v>
      </c>
      <c r="L50" s="53">
        <v>58747.584003651093</v>
      </c>
      <c r="M50" s="53">
        <v>1</v>
      </c>
      <c r="N50" s="58">
        <f t="shared" ref="N50:N51" si="101">+M50*L50</f>
        <v>58747.584003651093</v>
      </c>
      <c r="O50" s="58">
        <f t="shared" si="65"/>
        <v>253535773.33287695</v>
      </c>
      <c r="P50" s="53">
        <v>42400</v>
      </c>
      <c r="Q50" s="53">
        <v>1</v>
      </c>
      <c r="R50" s="58">
        <f t="shared" ref="R50:R51" si="102">+Q50*P50</f>
        <v>42400</v>
      </c>
      <c r="S50" s="58">
        <f t="shared" si="66"/>
        <v>182984832</v>
      </c>
      <c r="T50" s="53">
        <v>42400</v>
      </c>
      <c r="U50" s="53">
        <v>1</v>
      </c>
      <c r="V50" s="58">
        <f t="shared" ref="V50:V51" si="103">+U50*T50</f>
        <v>42400</v>
      </c>
      <c r="W50" s="58">
        <f t="shared" si="67"/>
        <v>182984832</v>
      </c>
      <c r="X50" s="53">
        <v>42400</v>
      </c>
      <c r="Y50" s="53">
        <v>1</v>
      </c>
      <c r="Z50" s="58">
        <f t="shared" ref="Z50:Z51" si="104">+Y50*X50</f>
        <v>42400</v>
      </c>
      <c r="AA50" s="58">
        <f t="shared" si="68"/>
        <v>182984832</v>
      </c>
      <c r="AB50" s="53">
        <v>42400</v>
      </c>
      <c r="AC50" s="53">
        <v>1</v>
      </c>
      <c r="AD50" s="58">
        <f t="shared" ref="AD50:AD51" si="105">+AC50*AB50</f>
        <v>42400</v>
      </c>
      <c r="AE50" s="58">
        <f t="shared" si="69"/>
        <v>182984832</v>
      </c>
      <c r="AF50" s="53">
        <v>42400</v>
      </c>
      <c r="AG50" s="53">
        <v>1</v>
      </c>
      <c r="AH50" s="58">
        <f t="shared" ref="AH50:AH51" si="106">+AG50*AF50</f>
        <v>42400</v>
      </c>
      <c r="AI50" s="58">
        <f t="shared" si="70"/>
        <v>182984832</v>
      </c>
      <c r="AJ50" s="53">
        <v>42400</v>
      </c>
      <c r="AK50" s="53">
        <v>1</v>
      </c>
      <c r="AL50" s="58">
        <f t="shared" ref="AL50:AL51" si="107">+AK50*AJ50</f>
        <v>42400</v>
      </c>
      <c r="AM50" s="58">
        <f t="shared" si="71"/>
        <v>182984832</v>
      </c>
    </row>
    <row r="51" spans="1:39" x14ac:dyDescent="0.25">
      <c r="A51" s="51">
        <v>9.07</v>
      </c>
      <c r="B51" s="52" t="s">
        <v>27</v>
      </c>
      <c r="C51" s="53" t="s">
        <v>132</v>
      </c>
      <c r="D51" s="53">
        <v>844.44579209356937</v>
      </c>
      <c r="E51" s="53">
        <v>81</v>
      </c>
      <c r="F51" s="58">
        <f t="shared" si="99"/>
        <v>68400.109159579122</v>
      </c>
      <c r="G51" s="58">
        <f t="shared" si="63"/>
        <v>295192983.09781247</v>
      </c>
      <c r="H51" s="53">
        <v>844.44579209356937</v>
      </c>
      <c r="I51" s="53">
        <v>78</v>
      </c>
      <c r="J51" s="58">
        <f t="shared" si="100"/>
        <v>65866.771783298405</v>
      </c>
      <c r="K51" s="58">
        <f t="shared" si="64"/>
        <v>284259909.64974529</v>
      </c>
      <c r="L51" s="53">
        <v>844.44579209356937</v>
      </c>
      <c r="M51" s="53">
        <v>83</v>
      </c>
      <c r="N51" s="58">
        <f t="shared" si="101"/>
        <v>70089.000743766257</v>
      </c>
      <c r="O51" s="58">
        <f t="shared" si="65"/>
        <v>302481698.72985721</v>
      </c>
      <c r="P51" s="53">
        <v>760.00121288421246</v>
      </c>
      <c r="Q51" s="53">
        <v>38</v>
      </c>
      <c r="R51" s="58">
        <f t="shared" si="102"/>
        <v>28880.046089600073</v>
      </c>
      <c r="S51" s="58">
        <f t="shared" si="66"/>
        <v>124637037.30796525</v>
      </c>
      <c r="T51" s="53">
        <v>760.00121288421246</v>
      </c>
      <c r="U51" s="53">
        <v>35</v>
      </c>
      <c r="V51" s="58">
        <f t="shared" si="103"/>
        <v>26600.042450947436</v>
      </c>
      <c r="W51" s="58">
        <f t="shared" si="67"/>
        <v>114797271.20470484</v>
      </c>
      <c r="X51" s="53">
        <v>760.00121288421246</v>
      </c>
      <c r="Y51" s="53">
        <v>40</v>
      </c>
      <c r="Z51" s="58">
        <f t="shared" si="104"/>
        <v>30400.0485153685</v>
      </c>
      <c r="AA51" s="58">
        <f t="shared" si="68"/>
        <v>131196881.37680554</v>
      </c>
      <c r="AB51" s="53">
        <v>760.00121288421246</v>
      </c>
      <c r="AC51" s="53">
        <v>41</v>
      </c>
      <c r="AD51" s="58">
        <f t="shared" si="105"/>
        <v>31160.04972825271</v>
      </c>
      <c r="AE51" s="58">
        <f t="shared" si="69"/>
        <v>134476803.41122568</v>
      </c>
      <c r="AF51" s="53">
        <v>760.00121288421246</v>
      </c>
      <c r="AG51" s="53">
        <v>48</v>
      </c>
      <c r="AH51" s="58">
        <f t="shared" si="106"/>
        <v>36480.058218442195</v>
      </c>
      <c r="AI51" s="58">
        <f t="shared" si="70"/>
        <v>157436257.65216663</v>
      </c>
      <c r="AJ51" s="53">
        <v>760.00121288421246</v>
      </c>
      <c r="AK51" s="53">
        <v>51</v>
      </c>
      <c r="AL51" s="58">
        <f t="shared" si="107"/>
        <v>38760.061857094835</v>
      </c>
      <c r="AM51" s="58">
        <f t="shared" si="71"/>
        <v>167276023.75542706</v>
      </c>
    </row>
    <row r="52" spans="1:39" x14ac:dyDescent="0.25">
      <c r="A52" s="51">
        <v>9.08</v>
      </c>
      <c r="B52" s="52" t="s">
        <v>28</v>
      </c>
      <c r="C52" s="53" t="s">
        <v>128</v>
      </c>
      <c r="D52" s="53">
        <v>139920</v>
      </c>
      <c r="E52" s="53">
        <v>1</v>
      </c>
      <c r="F52" s="58">
        <f>+E52*D52</f>
        <v>139920</v>
      </c>
      <c r="G52" s="58">
        <f t="shared" si="63"/>
        <v>603849945.60000002</v>
      </c>
      <c r="H52" s="53">
        <v>139920</v>
      </c>
      <c r="I52" s="53">
        <v>1</v>
      </c>
      <c r="J52" s="58">
        <f>+I52*H52</f>
        <v>139920</v>
      </c>
      <c r="K52" s="58">
        <f t="shared" si="64"/>
        <v>603849945.60000002</v>
      </c>
      <c r="L52" s="53">
        <v>139920</v>
      </c>
      <c r="M52" s="53">
        <v>1</v>
      </c>
      <c r="N52" s="58">
        <f>+M52*L52</f>
        <v>139920</v>
      </c>
      <c r="O52" s="58">
        <f t="shared" si="65"/>
        <v>603849945.60000002</v>
      </c>
      <c r="P52" s="53">
        <v>127200</v>
      </c>
      <c r="Q52" s="53">
        <v>1</v>
      </c>
      <c r="R52" s="58">
        <f>+Q52*P52</f>
        <v>127200</v>
      </c>
      <c r="S52" s="58">
        <f t="shared" si="66"/>
        <v>548954496</v>
      </c>
      <c r="T52" s="53">
        <v>127200</v>
      </c>
      <c r="U52" s="53">
        <v>1</v>
      </c>
      <c r="V52" s="58">
        <f>+U52*T52</f>
        <v>127200</v>
      </c>
      <c r="W52" s="58">
        <f t="shared" si="67"/>
        <v>548954496</v>
      </c>
      <c r="X52" s="53">
        <v>127200</v>
      </c>
      <c r="Y52" s="53">
        <v>1</v>
      </c>
      <c r="Z52" s="58">
        <f>+Y52*X52</f>
        <v>127200</v>
      </c>
      <c r="AA52" s="58">
        <f t="shared" si="68"/>
        <v>548954496</v>
      </c>
      <c r="AB52" s="53">
        <v>127200</v>
      </c>
      <c r="AC52" s="53">
        <v>1</v>
      </c>
      <c r="AD52" s="58">
        <f>+AC52*AB52</f>
        <v>127200</v>
      </c>
      <c r="AE52" s="58">
        <f t="shared" si="69"/>
        <v>548954496</v>
      </c>
      <c r="AF52" s="53">
        <v>127200</v>
      </c>
      <c r="AG52" s="53">
        <v>1</v>
      </c>
      <c r="AH52" s="58">
        <f>+AG52*AF52</f>
        <v>127200</v>
      </c>
      <c r="AI52" s="58">
        <f t="shared" si="70"/>
        <v>548954496</v>
      </c>
      <c r="AJ52" s="53">
        <v>127200</v>
      </c>
      <c r="AK52" s="53">
        <v>1</v>
      </c>
      <c r="AL52" s="58">
        <f>+AK52*AJ52</f>
        <v>127200</v>
      </c>
      <c r="AM52" s="58">
        <f t="shared" si="71"/>
        <v>548954496</v>
      </c>
    </row>
    <row r="53" spans="1:39" x14ac:dyDescent="0.25">
      <c r="A53" s="54">
        <v>10</v>
      </c>
      <c r="B53" s="55" t="s">
        <v>127</v>
      </c>
      <c r="C53" s="56"/>
      <c r="D53" s="56"/>
      <c r="E53" s="56"/>
      <c r="F53" s="57">
        <f>+SUM(F54:F58)</f>
        <v>1197641</v>
      </c>
      <c r="G53" s="57">
        <f t="shared" si="63"/>
        <v>5168635310.8800001</v>
      </c>
      <c r="H53" s="56"/>
      <c r="I53" s="56"/>
      <c r="J53" s="57">
        <f>+SUM(J54:J58)</f>
        <v>1128847</v>
      </c>
      <c r="K53" s="57">
        <f t="shared" si="64"/>
        <v>4871742420.96</v>
      </c>
      <c r="L53" s="56"/>
      <c r="M53" s="56"/>
      <c r="N53" s="57">
        <f>+SUM(N54:N58)</f>
        <v>1163244</v>
      </c>
      <c r="O53" s="57">
        <f t="shared" si="65"/>
        <v>5020188865.9200001</v>
      </c>
      <c r="P53" s="56"/>
      <c r="Q53" s="56"/>
      <c r="R53" s="57">
        <f>+SUM(R54:R58)</f>
        <v>844290</v>
      </c>
      <c r="S53" s="57">
        <f t="shared" si="66"/>
        <v>3643685467.2000003</v>
      </c>
      <c r="T53" s="56"/>
      <c r="U53" s="56"/>
      <c r="V53" s="57">
        <f>+SUM(V54:V58)</f>
        <v>816147</v>
      </c>
      <c r="W53" s="57">
        <f t="shared" si="67"/>
        <v>3522229284.96</v>
      </c>
      <c r="X53" s="56"/>
      <c r="Y53" s="56"/>
      <c r="Z53" s="57">
        <f>+SUM(Z54:Z58)</f>
        <v>872433</v>
      </c>
      <c r="AA53" s="57">
        <f t="shared" si="68"/>
        <v>3765141649.4400001</v>
      </c>
      <c r="AB53" s="56"/>
      <c r="AC53" s="56"/>
      <c r="AD53" s="57">
        <f>+SUM(AD54:AD58)</f>
        <v>928719</v>
      </c>
      <c r="AE53" s="57">
        <f t="shared" si="69"/>
        <v>4008054013.9200001</v>
      </c>
      <c r="AF53" s="56"/>
      <c r="AG53" s="56"/>
      <c r="AH53" s="57">
        <f>+SUM(AH54:AH58)</f>
        <v>985005</v>
      </c>
      <c r="AI53" s="57">
        <f t="shared" si="70"/>
        <v>4250966378.4000001</v>
      </c>
      <c r="AJ53" s="56"/>
      <c r="AK53" s="56"/>
      <c r="AL53" s="57">
        <f>+SUM(AL54:AL58)</f>
        <v>1041291</v>
      </c>
      <c r="AM53" s="57">
        <f t="shared" si="71"/>
        <v>4493878742.8800001</v>
      </c>
    </row>
    <row r="54" spans="1:39" ht="18" x14ac:dyDescent="0.25">
      <c r="A54" s="51">
        <v>10.01</v>
      </c>
      <c r="B54" s="52" t="s">
        <v>155</v>
      </c>
      <c r="C54" s="53" t="s">
        <v>31</v>
      </c>
      <c r="D54" s="53">
        <v>625.4</v>
      </c>
      <c r="E54" s="53">
        <v>400</v>
      </c>
      <c r="F54" s="58">
        <f t="shared" ref="F54:F57" si="108">+E54*D54</f>
        <v>250160</v>
      </c>
      <c r="G54" s="58">
        <f t="shared" si="63"/>
        <v>1079610508.8000002</v>
      </c>
      <c r="H54" s="53">
        <v>625.4</v>
      </c>
      <c r="I54" s="53">
        <v>400</v>
      </c>
      <c r="J54" s="58">
        <f t="shared" ref="J54:J57" si="109">+I54*H54</f>
        <v>250160</v>
      </c>
      <c r="K54" s="58">
        <f t="shared" si="64"/>
        <v>1079610508.8000002</v>
      </c>
      <c r="L54" s="53">
        <v>625.4</v>
      </c>
      <c r="M54" s="53">
        <v>400</v>
      </c>
      <c r="N54" s="58">
        <f t="shared" ref="N54:N57" si="110">+M54*L54</f>
        <v>250160</v>
      </c>
      <c r="O54" s="58">
        <f t="shared" si="65"/>
        <v>1079610508.8000002</v>
      </c>
      <c r="P54" s="53">
        <v>625.4</v>
      </c>
      <c r="Q54" s="53">
        <v>300</v>
      </c>
      <c r="R54" s="58">
        <f t="shared" ref="R54:R57" si="111">+Q54*P54</f>
        <v>187620</v>
      </c>
      <c r="S54" s="58">
        <f t="shared" si="66"/>
        <v>809707881.60000002</v>
      </c>
      <c r="T54" s="53">
        <v>625.4</v>
      </c>
      <c r="U54" s="53">
        <v>300</v>
      </c>
      <c r="V54" s="58">
        <f t="shared" ref="V54:V57" si="112">+U54*T54</f>
        <v>187620</v>
      </c>
      <c r="W54" s="58">
        <f t="shared" si="67"/>
        <v>809707881.60000002</v>
      </c>
      <c r="X54" s="53">
        <v>625.4</v>
      </c>
      <c r="Y54" s="53">
        <v>300</v>
      </c>
      <c r="Z54" s="58">
        <f t="shared" ref="Z54:Z57" si="113">+Y54*X54</f>
        <v>187620</v>
      </c>
      <c r="AA54" s="58">
        <f t="shared" si="68"/>
        <v>809707881.60000002</v>
      </c>
      <c r="AB54" s="53">
        <v>625.4</v>
      </c>
      <c r="AC54" s="53">
        <v>300</v>
      </c>
      <c r="AD54" s="58">
        <f t="shared" ref="AD54:AD57" si="114">+AC54*AB54</f>
        <v>187620</v>
      </c>
      <c r="AE54" s="58">
        <f t="shared" si="69"/>
        <v>809707881.60000002</v>
      </c>
      <c r="AF54" s="53">
        <v>625.4</v>
      </c>
      <c r="AG54" s="53">
        <v>300</v>
      </c>
      <c r="AH54" s="58">
        <f t="shared" ref="AH54:AH57" si="115">+AG54*AF54</f>
        <v>187620</v>
      </c>
      <c r="AI54" s="58">
        <f t="shared" si="70"/>
        <v>809707881.60000002</v>
      </c>
      <c r="AJ54" s="53">
        <v>625.4</v>
      </c>
      <c r="AK54" s="53">
        <v>300</v>
      </c>
      <c r="AL54" s="58">
        <f t="shared" ref="AL54:AL57" si="116">+AK54*AJ54</f>
        <v>187620</v>
      </c>
      <c r="AM54" s="58">
        <f t="shared" si="71"/>
        <v>809707881.60000002</v>
      </c>
    </row>
    <row r="55" spans="1:39" ht="18" x14ac:dyDescent="0.25">
      <c r="A55" s="51">
        <v>10.02</v>
      </c>
      <c r="B55" s="52" t="s">
        <v>156</v>
      </c>
      <c r="C55" s="53" t="s">
        <v>31</v>
      </c>
      <c r="D55" s="53">
        <v>625.4</v>
      </c>
      <c r="E55" s="53">
        <v>800</v>
      </c>
      <c r="F55" s="58">
        <f t="shared" si="108"/>
        <v>500320</v>
      </c>
      <c r="G55" s="58">
        <f t="shared" si="63"/>
        <v>2159221017.6000004</v>
      </c>
      <c r="H55" s="53">
        <v>625.4</v>
      </c>
      <c r="I55" s="53">
        <v>800</v>
      </c>
      <c r="J55" s="58">
        <f t="shared" si="109"/>
        <v>500320</v>
      </c>
      <c r="K55" s="58">
        <f t="shared" si="64"/>
        <v>2159221017.6000004</v>
      </c>
      <c r="L55" s="53">
        <v>625.4</v>
      </c>
      <c r="M55" s="53">
        <v>800</v>
      </c>
      <c r="N55" s="58">
        <f t="shared" si="110"/>
        <v>500320</v>
      </c>
      <c r="O55" s="58">
        <f t="shared" si="65"/>
        <v>2159221017.6000004</v>
      </c>
      <c r="P55" s="53">
        <v>625.4</v>
      </c>
      <c r="Q55" s="53">
        <v>600</v>
      </c>
      <c r="R55" s="58">
        <f t="shared" si="111"/>
        <v>375240</v>
      </c>
      <c r="S55" s="58">
        <f t="shared" si="66"/>
        <v>1619415763.2</v>
      </c>
      <c r="T55" s="53">
        <v>625.4</v>
      </c>
      <c r="U55" s="53">
        <v>600</v>
      </c>
      <c r="V55" s="58">
        <f t="shared" si="112"/>
        <v>375240</v>
      </c>
      <c r="W55" s="58">
        <f t="shared" si="67"/>
        <v>1619415763.2</v>
      </c>
      <c r="X55" s="53">
        <v>625.4</v>
      </c>
      <c r="Y55" s="53">
        <v>600</v>
      </c>
      <c r="Z55" s="58">
        <f t="shared" si="113"/>
        <v>375240</v>
      </c>
      <c r="AA55" s="58">
        <f t="shared" si="68"/>
        <v>1619415763.2</v>
      </c>
      <c r="AB55" s="53">
        <v>625.4</v>
      </c>
      <c r="AC55" s="53">
        <v>600</v>
      </c>
      <c r="AD55" s="58">
        <f t="shared" si="114"/>
        <v>375240</v>
      </c>
      <c r="AE55" s="58">
        <f t="shared" si="69"/>
        <v>1619415763.2</v>
      </c>
      <c r="AF55" s="53">
        <v>625.4</v>
      </c>
      <c r="AG55" s="53">
        <v>600</v>
      </c>
      <c r="AH55" s="58">
        <f t="shared" si="115"/>
        <v>375240</v>
      </c>
      <c r="AI55" s="58">
        <f t="shared" si="70"/>
        <v>1619415763.2</v>
      </c>
      <c r="AJ55" s="53">
        <v>625.4</v>
      </c>
      <c r="AK55" s="53">
        <v>600</v>
      </c>
      <c r="AL55" s="58">
        <f t="shared" si="116"/>
        <v>375240</v>
      </c>
      <c r="AM55" s="58">
        <f t="shared" si="71"/>
        <v>1619415763.2</v>
      </c>
    </row>
    <row r="56" spans="1:39" ht="18" x14ac:dyDescent="0.25">
      <c r="A56" s="51">
        <v>10.029999999999999</v>
      </c>
      <c r="B56" s="52" t="s">
        <v>157</v>
      </c>
      <c r="C56" s="53" t="s">
        <v>31</v>
      </c>
      <c r="D56" s="53">
        <v>625.4</v>
      </c>
      <c r="E56" s="53">
        <v>0</v>
      </c>
      <c r="F56" s="58">
        <f t="shared" si="108"/>
        <v>0</v>
      </c>
      <c r="G56" s="58">
        <f t="shared" si="63"/>
        <v>0</v>
      </c>
      <c r="H56" s="53">
        <v>625.4</v>
      </c>
      <c r="I56" s="53">
        <v>0</v>
      </c>
      <c r="J56" s="58">
        <f t="shared" si="109"/>
        <v>0</v>
      </c>
      <c r="K56" s="58">
        <f t="shared" si="64"/>
        <v>0</v>
      </c>
      <c r="L56" s="53">
        <v>625.4</v>
      </c>
      <c r="M56" s="53">
        <v>0</v>
      </c>
      <c r="N56" s="58">
        <f t="shared" si="110"/>
        <v>0</v>
      </c>
      <c r="O56" s="58">
        <f t="shared" si="65"/>
        <v>0</v>
      </c>
      <c r="P56" s="53">
        <v>625.4</v>
      </c>
      <c r="Q56" s="53">
        <v>0</v>
      </c>
      <c r="R56" s="58">
        <f t="shared" si="111"/>
        <v>0</v>
      </c>
      <c r="S56" s="58">
        <f t="shared" si="66"/>
        <v>0</v>
      </c>
      <c r="T56" s="53">
        <v>625.4</v>
      </c>
      <c r="U56" s="53">
        <v>0</v>
      </c>
      <c r="V56" s="58">
        <f t="shared" si="112"/>
        <v>0</v>
      </c>
      <c r="W56" s="58">
        <f t="shared" si="67"/>
        <v>0</v>
      </c>
      <c r="X56" s="53">
        <v>625.4</v>
      </c>
      <c r="Y56" s="53">
        <v>0</v>
      </c>
      <c r="Z56" s="58">
        <f t="shared" si="113"/>
        <v>0</v>
      </c>
      <c r="AA56" s="58">
        <f t="shared" si="68"/>
        <v>0</v>
      </c>
      <c r="AB56" s="53">
        <v>625.4</v>
      </c>
      <c r="AC56" s="53">
        <v>0</v>
      </c>
      <c r="AD56" s="58">
        <f t="shared" si="114"/>
        <v>0</v>
      </c>
      <c r="AE56" s="58">
        <f t="shared" si="69"/>
        <v>0</v>
      </c>
      <c r="AF56" s="53">
        <v>625.4</v>
      </c>
      <c r="AG56" s="53">
        <v>0</v>
      </c>
      <c r="AH56" s="58">
        <f t="shared" si="115"/>
        <v>0</v>
      </c>
      <c r="AI56" s="58">
        <f t="shared" si="70"/>
        <v>0</v>
      </c>
      <c r="AJ56" s="53">
        <v>625.4</v>
      </c>
      <c r="AK56" s="53">
        <v>0</v>
      </c>
      <c r="AL56" s="58">
        <f t="shared" si="116"/>
        <v>0</v>
      </c>
      <c r="AM56" s="58">
        <f t="shared" si="71"/>
        <v>0</v>
      </c>
    </row>
    <row r="57" spans="1:39" ht="18" x14ac:dyDescent="0.25">
      <c r="A57" s="51">
        <v>10.039999999999999</v>
      </c>
      <c r="B57" s="52" t="s">
        <v>158</v>
      </c>
      <c r="C57" s="53" t="s">
        <v>31</v>
      </c>
      <c r="D57" s="53">
        <v>625.4</v>
      </c>
      <c r="E57" s="53">
        <v>715</v>
      </c>
      <c r="F57" s="58">
        <f t="shared" si="108"/>
        <v>447161</v>
      </c>
      <c r="G57" s="58">
        <f t="shared" si="63"/>
        <v>1929803784.48</v>
      </c>
      <c r="H57" s="53">
        <v>625.4</v>
      </c>
      <c r="I57" s="53">
        <v>605</v>
      </c>
      <c r="J57" s="58">
        <f t="shared" si="109"/>
        <v>378367</v>
      </c>
      <c r="K57" s="58">
        <f t="shared" si="64"/>
        <v>1632910894.5600002</v>
      </c>
      <c r="L57" s="53">
        <v>625.4</v>
      </c>
      <c r="M57" s="53">
        <v>660</v>
      </c>
      <c r="N57" s="58">
        <f t="shared" si="110"/>
        <v>412764</v>
      </c>
      <c r="O57" s="58">
        <f t="shared" si="65"/>
        <v>1781357339.5200002</v>
      </c>
      <c r="P57" s="53">
        <v>625.4</v>
      </c>
      <c r="Q57" s="53">
        <v>450</v>
      </c>
      <c r="R57" s="58">
        <f t="shared" si="111"/>
        <v>281430</v>
      </c>
      <c r="S57" s="58">
        <f t="shared" si="66"/>
        <v>1214561822.4000001</v>
      </c>
      <c r="T57" s="53">
        <v>625.4</v>
      </c>
      <c r="U57" s="53">
        <v>405</v>
      </c>
      <c r="V57" s="58">
        <f t="shared" si="112"/>
        <v>253287</v>
      </c>
      <c r="W57" s="58">
        <f t="shared" si="67"/>
        <v>1093105640.1600001</v>
      </c>
      <c r="X57" s="53">
        <v>625.4</v>
      </c>
      <c r="Y57" s="53">
        <v>495</v>
      </c>
      <c r="Z57" s="58">
        <f t="shared" si="113"/>
        <v>309573</v>
      </c>
      <c r="AA57" s="58">
        <f t="shared" si="68"/>
        <v>1336018004.6400001</v>
      </c>
      <c r="AB57" s="53">
        <v>625.4</v>
      </c>
      <c r="AC57" s="53">
        <v>585</v>
      </c>
      <c r="AD57" s="58">
        <f t="shared" si="114"/>
        <v>365859</v>
      </c>
      <c r="AE57" s="58">
        <f t="shared" si="69"/>
        <v>1578930369.1200001</v>
      </c>
      <c r="AF57" s="53">
        <v>625.4</v>
      </c>
      <c r="AG57" s="53">
        <v>675</v>
      </c>
      <c r="AH57" s="58">
        <f t="shared" si="115"/>
        <v>422145</v>
      </c>
      <c r="AI57" s="58">
        <f t="shared" si="70"/>
        <v>1821842733.6000001</v>
      </c>
      <c r="AJ57" s="53">
        <v>625.4</v>
      </c>
      <c r="AK57" s="53">
        <v>765</v>
      </c>
      <c r="AL57" s="58">
        <f t="shared" si="116"/>
        <v>478431</v>
      </c>
      <c r="AM57" s="58">
        <f t="shared" si="71"/>
        <v>2064755098.0800002</v>
      </c>
    </row>
    <row r="58" spans="1:39" x14ac:dyDescent="0.25">
      <c r="A58" s="51">
        <v>10.050000000000001</v>
      </c>
      <c r="B58" s="52" t="s">
        <v>9</v>
      </c>
      <c r="C58" s="53" t="s">
        <v>8</v>
      </c>
      <c r="D58" s="53"/>
      <c r="E58" s="53"/>
      <c r="F58" s="58"/>
      <c r="G58" s="58"/>
      <c r="H58" s="53"/>
      <c r="I58" s="53"/>
      <c r="J58" s="58"/>
      <c r="K58" s="58"/>
      <c r="L58" s="53"/>
      <c r="M58" s="53"/>
      <c r="N58" s="58"/>
      <c r="O58" s="58"/>
      <c r="P58" s="53"/>
      <c r="Q58" s="53"/>
      <c r="R58" s="58"/>
      <c r="S58" s="58"/>
      <c r="T58" s="53"/>
      <c r="U58" s="53"/>
      <c r="V58" s="58"/>
      <c r="W58" s="58"/>
      <c r="X58" s="53"/>
      <c r="Y58" s="53"/>
      <c r="Z58" s="58"/>
      <c r="AA58" s="58"/>
      <c r="AB58" s="53"/>
      <c r="AC58" s="53"/>
      <c r="AD58" s="58"/>
      <c r="AE58" s="58"/>
      <c r="AF58" s="53"/>
      <c r="AG58" s="53"/>
      <c r="AH58" s="58"/>
      <c r="AI58" s="58"/>
      <c r="AJ58" s="53"/>
      <c r="AK58" s="53"/>
      <c r="AL58" s="58"/>
      <c r="AM58" s="58"/>
    </row>
    <row r="59" spans="1:39" x14ac:dyDescent="0.25">
      <c r="A59" s="54">
        <v>11</v>
      </c>
      <c r="B59" s="55" t="s">
        <v>170</v>
      </c>
      <c r="C59" s="56"/>
      <c r="D59" s="56"/>
      <c r="E59" s="56"/>
      <c r="F59" s="57">
        <f>+SUM(F60:F65)</f>
        <v>6719750</v>
      </c>
      <c r="G59" s="57">
        <f t="shared" si="63"/>
        <v>29000290680.000004</v>
      </c>
      <c r="H59" s="56"/>
      <c r="I59" s="56"/>
      <c r="J59" s="57">
        <f>+SUM(J60:J65)</f>
        <v>6690500</v>
      </c>
      <c r="K59" s="57">
        <f t="shared" si="64"/>
        <v>28874057040.000004</v>
      </c>
      <c r="L59" s="56"/>
      <c r="M59" s="56"/>
      <c r="N59" s="57">
        <f>+SUM(N60:N65)</f>
        <v>6739250</v>
      </c>
      <c r="O59" s="57">
        <f t="shared" si="65"/>
        <v>29084446440.000004</v>
      </c>
      <c r="P59" s="56"/>
      <c r="Q59" s="56"/>
      <c r="R59" s="57">
        <f>+SUM(R60:R65)</f>
        <v>4410500</v>
      </c>
      <c r="S59" s="57">
        <f t="shared" si="66"/>
        <v>19034306640</v>
      </c>
      <c r="T59" s="56"/>
      <c r="U59" s="56"/>
      <c r="V59" s="57">
        <f>+SUM(V60:V65)</f>
        <v>4381250</v>
      </c>
      <c r="W59" s="57">
        <f t="shared" si="67"/>
        <v>18908073000</v>
      </c>
      <c r="X59" s="56"/>
      <c r="Y59" s="56"/>
      <c r="Z59" s="57">
        <f>+SUM(Z60:Z65)</f>
        <v>4430000</v>
      </c>
      <c r="AA59" s="57">
        <f t="shared" si="68"/>
        <v>19118462400</v>
      </c>
      <c r="AB59" s="56"/>
      <c r="AC59" s="56"/>
      <c r="AD59" s="57">
        <f>+SUM(AD60:AD65)</f>
        <v>4439750</v>
      </c>
      <c r="AE59" s="57">
        <f t="shared" si="69"/>
        <v>19160540280</v>
      </c>
      <c r="AF59" s="56"/>
      <c r="AG59" s="56"/>
      <c r="AH59" s="57">
        <f>+SUM(AH60:AH65)</f>
        <v>4508000</v>
      </c>
      <c r="AI59" s="57">
        <f t="shared" si="70"/>
        <v>19455085440</v>
      </c>
      <c r="AJ59" s="56"/>
      <c r="AK59" s="56"/>
      <c r="AL59" s="57">
        <f>+SUM(AL60:AL65)</f>
        <v>4537250</v>
      </c>
      <c r="AM59" s="57">
        <f t="shared" si="71"/>
        <v>19581319080</v>
      </c>
    </row>
    <row r="60" spans="1:39" x14ac:dyDescent="0.25">
      <c r="A60" s="51">
        <v>11.01</v>
      </c>
      <c r="B60" s="52" t="s">
        <v>159</v>
      </c>
      <c r="C60" s="53" t="s">
        <v>1</v>
      </c>
      <c r="D60" s="53">
        <v>1350</v>
      </c>
      <c r="E60" s="53">
        <v>4000</v>
      </c>
      <c r="F60" s="58">
        <f t="shared" ref="F60:F65" si="117">+E60*D60</f>
        <v>5400000</v>
      </c>
      <c r="G60" s="58">
        <f t="shared" si="63"/>
        <v>23304672000</v>
      </c>
      <c r="H60" s="53">
        <v>1350</v>
      </c>
      <c r="I60" s="53">
        <v>4000</v>
      </c>
      <c r="J60" s="58">
        <f t="shared" ref="J60:J65" si="118">+I60*H60</f>
        <v>5400000</v>
      </c>
      <c r="K60" s="58">
        <f t="shared" si="64"/>
        <v>23304672000</v>
      </c>
      <c r="L60" s="53">
        <v>1350</v>
      </c>
      <c r="M60" s="53">
        <v>4000</v>
      </c>
      <c r="N60" s="58">
        <f t="shared" ref="N60:N65" si="119">+M60*L60</f>
        <v>5400000</v>
      </c>
      <c r="O60" s="58">
        <f t="shared" si="65"/>
        <v>23304672000</v>
      </c>
      <c r="P60" s="53">
        <v>1350</v>
      </c>
      <c r="Q60" s="53">
        <v>2600</v>
      </c>
      <c r="R60" s="58">
        <f t="shared" ref="R60:R65" si="120">+Q60*P60</f>
        <v>3510000</v>
      </c>
      <c r="S60" s="58">
        <f t="shared" si="66"/>
        <v>15148036800.000002</v>
      </c>
      <c r="T60" s="53">
        <v>1350</v>
      </c>
      <c r="U60" s="53">
        <v>2600</v>
      </c>
      <c r="V60" s="58">
        <f t="shared" ref="V60:V65" si="121">+U60*T60</f>
        <v>3510000</v>
      </c>
      <c r="W60" s="58">
        <f t="shared" si="67"/>
        <v>15148036800.000002</v>
      </c>
      <c r="X60" s="53">
        <v>1350</v>
      </c>
      <c r="Y60" s="53">
        <v>2600</v>
      </c>
      <c r="Z60" s="58">
        <f t="shared" ref="Z60:Z65" si="122">+Y60*X60</f>
        <v>3510000</v>
      </c>
      <c r="AA60" s="58">
        <f t="shared" si="68"/>
        <v>15148036800.000002</v>
      </c>
      <c r="AB60" s="53">
        <v>1350</v>
      </c>
      <c r="AC60" s="53">
        <v>2600</v>
      </c>
      <c r="AD60" s="58">
        <f t="shared" ref="AD60:AD65" si="123">+AC60*AB60</f>
        <v>3510000</v>
      </c>
      <c r="AE60" s="58">
        <f t="shared" si="69"/>
        <v>15148036800.000002</v>
      </c>
      <c r="AF60" s="53">
        <v>1350</v>
      </c>
      <c r="AG60" s="53">
        <v>2600</v>
      </c>
      <c r="AH60" s="58">
        <f t="shared" ref="AH60:AH65" si="124">+AG60*AF60</f>
        <v>3510000</v>
      </c>
      <c r="AI60" s="58">
        <f t="shared" si="70"/>
        <v>15148036800.000002</v>
      </c>
      <c r="AJ60" s="53">
        <v>1350</v>
      </c>
      <c r="AK60" s="53">
        <v>2600</v>
      </c>
      <c r="AL60" s="58">
        <f t="shared" ref="AL60:AL65" si="125">+AK60*AJ60</f>
        <v>3510000</v>
      </c>
      <c r="AM60" s="58">
        <f t="shared" si="71"/>
        <v>15148036800.000002</v>
      </c>
    </row>
    <row r="61" spans="1:39" x14ac:dyDescent="0.25">
      <c r="A61" s="51">
        <v>11.02</v>
      </c>
      <c r="B61" s="52" t="s">
        <v>160</v>
      </c>
      <c r="C61" s="53" t="s">
        <v>1</v>
      </c>
      <c r="D61" s="53">
        <v>1350</v>
      </c>
      <c r="E61" s="53">
        <v>0</v>
      </c>
      <c r="F61" s="58">
        <f t="shared" si="117"/>
        <v>0</v>
      </c>
      <c r="G61" s="58">
        <f t="shared" si="63"/>
        <v>0</v>
      </c>
      <c r="H61" s="53">
        <v>1350</v>
      </c>
      <c r="I61" s="53">
        <v>0</v>
      </c>
      <c r="J61" s="58">
        <f t="shared" si="118"/>
        <v>0</v>
      </c>
      <c r="K61" s="58">
        <f t="shared" si="64"/>
        <v>0</v>
      </c>
      <c r="L61" s="53">
        <v>1350</v>
      </c>
      <c r="M61" s="53">
        <v>0</v>
      </c>
      <c r="N61" s="58">
        <f t="shared" si="119"/>
        <v>0</v>
      </c>
      <c r="O61" s="58">
        <f t="shared" si="65"/>
        <v>0</v>
      </c>
      <c r="P61" s="53">
        <v>1350</v>
      </c>
      <c r="Q61" s="53">
        <v>0</v>
      </c>
      <c r="R61" s="58">
        <f t="shared" si="120"/>
        <v>0</v>
      </c>
      <c r="S61" s="58">
        <f t="shared" si="66"/>
        <v>0</v>
      </c>
      <c r="T61" s="53">
        <v>1350</v>
      </c>
      <c r="U61" s="53">
        <v>0</v>
      </c>
      <c r="V61" s="58">
        <f t="shared" si="121"/>
        <v>0</v>
      </c>
      <c r="W61" s="58">
        <f t="shared" si="67"/>
        <v>0</v>
      </c>
      <c r="X61" s="53">
        <v>1350</v>
      </c>
      <c r="Y61" s="53">
        <v>0</v>
      </c>
      <c r="Z61" s="58">
        <f t="shared" si="122"/>
        <v>0</v>
      </c>
      <c r="AA61" s="58">
        <f t="shared" si="68"/>
        <v>0</v>
      </c>
      <c r="AB61" s="53">
        <v>1350</v>
      </c>
      <c r="AC61" s="53">
        <v>0</v>
      </c>
      <c r="AD61" s="58">
        <f t="shared" si="123"/>
        <v>0</v>
      </c>
      <c r="AE61" s="58">
        <f t="shared" si="69"/>
        <v>0</v>
      </c>
      <c r="AF61" s="53">
        <v>1350</v>
      </c>
      <c r="AG61" s="53">
        <v>0</v>
      </c>
      <c r="AH61" s="58">
        <f t="shared" si="124"/>
        <v>0</v>
      </c>
      <c r="AI61" s="58">
        <f t="shared" si="70"/>
        <v>0</v>
      </c>
      <c r="AJ61" s="53">
        <v>1350</v>
      </c>
      <c r="AK61" s="53">
        <v>0</v>
      </c>
      <c r="AL61" s="58">
        <f t="shared" si="125"/>
        <v>0</v>
      </c>
      <c r="AM61" s="58">
        <f t="shared" si="71"/>
        <v>0</v>
      </c>
    </row>
    <row r="62" spans="1:39" x14ac:dyDescent="0.25">
      <c r="A62" s="51">
        <v>11.03</v>
      </c>
      <c r="B62" s="52" t="s">
        <v>162</v>
      </c>
      <c r="C62" s="53" t="s">
        <v>1</v>
      </c>
      <c r="D62" s="53">
        <v>1350</v>
      </c>
      <c r="E62" s="53">
        <v>0</v>
      </c>
      <c r="F62" s="58">
        <f t="shared" si="117"/>
        <v>0</v>
      </c>
      <c r="G62" s="58">
        <f t="shared" si="63"/>
        <v>0</v>
      </c>
      <c r="H62" s="53">
        <v>1350</v>
      </c>
      <c r="I62" s="53">
        <v>0</v>
      </c>
      <c r="J62" s="58">
        <f t="shared" si="118"/>
        <v>0</v>
      </c>
      <c r="K62" s="58">
        <f t="shared" si="64"/>
        <v>0</v>
      </c>
      <c r="L62" s="53">
        <v>1350</v>
      </c>
      <c r="M62" s="53">
        <v>0</v>
      </c>
      <c r="N62" s="58">
        <f t="shared" si="119"/>
        <v>0</v>
      </c>
      <c r="O62" s="58">
        <f t="shared" si="65"/>
        <v>0</v>
      </c>
      <c r="P62" s="53">
        <v>1350</v>
      </c>
      <c r="Q62" s="53">
        <v>0</v>
      </c>
      <c r="R62" s="58">
        <f t="shared" si="120"/>
        <v>0</v>
      </c>
      <c r="S62" s="58">
        <f t="shared" si="66"/>
        <v>0</v>
      </c>
      <c r="T62" s="53">
        <v>1350</v>
      </c>
      <c r="U62" s="53">
        <v>0</v>
      </c>
      <c r="V62" s="58">
        <f t="shared" si="121"/>
        <v>0</v>
      </c>
      <c r="W62" s="58">
        <f t="shared" si="67"/>
        <v>0</v>
      </c>
      <c r="X62" s="53">
        <v>1350</v>
      </c>
      <c r="Y62" s="53">
        <v>0</v>
      </c>
      <c r="Z62" s="58">
        <f t="shared" si="122"/>
        <v>0</v>
      </c>
      <c r="AA62" s="58">
        <f t="shared" si="68"/>
        <v>0</v>
      </c>
      <c r="AB62" s="53">
        <v>1350</v>
      </c>
      <c r="AC62" s="53">
        <v>0</v>
      </c>
      <c r="AD62" s="58">
        <f t="shared" si="123"/>
        <v>0</v>
      </c>
      <c r="AE62" s="58">
        <f t="shared" si="69"/>
        <v>0</v>
      </c>
      <c r="AF62" s="53">
        <v>1350</v>
      </c>
      <c r="AG62" s="53">
        <v>0</v>
      </c>
      <c r="AH62" s="58">
        <f t="shared" si="124"/>
        <v>0</v>
      </c>
      <c r="AI62" s="58">
        <f t="shared" si="70"/>
        <v>0</v>
      </c>
      <c r="AJ62" s="53">
        <v>1350</v>
      </c>
      <c r="AK62" s="53">
        <v>0</v>
      </c>
      <c r="AL62" s="58">
        <f t="shared" si="125"/>
        <v>0</v>
      </c>
      <c r="AM62" s="58">
        <f t="shared" si="71"/>
        <v>0</v>
      </c>
    </row>
    <row r="63" spans="1:39" x14ac:dyDescent="0.25">
      <c r="A63" s="51">
        <v>11.04</v>
      </c>
      <c r="B63" s="52" t="s">
        <v>161</v>
      </c>
      <c r="C63" s="53" t="s">
        <v>1</v>
      </c>
      <c r="D63" s="53">
        <v>750</v>
      </c>
      <c r="E63" s="53">
        <v>1053</v>
      </c>
      <c r="F63" s="58">
        <f t="shared" si="117"/>
        <v>789750</v>
      </c>
      <c r="G63" s="58">
        <f t="shared" si="63"/>
        <v>3408308280</v>
      </c>
      <c r="H63" s="53">
        <v>750</v>
      </c>
      <c r="I63" s="53">
        <v>1014</v>
      </c>
      <c r="J63" s="58">
        <f t="shared" si="118"/>
        <v>760500</v>
      </c>
      <c r="K63" s="58">
        <f t="shared" si="64"/>
        <v>3282074640</v>
      </c>
      <c r="L63" s="53">
        <v>750</v>
      </c>
      <c r="M63" s="53">
        <v>1079</v>
      </c>
      <c r="N63" s="58">
        <f t="shared" si="119"/>
        <v>809250</v>
      </c>
      <c r="O63" s="58">
        <f t="shared" si="65"/>
        <v>3492464040</v>
      </c>
      <c r="P63" s="53">
        <v>750</v>
      </c>
      <c r="Q63" s="53">
        <v>494</v>
      </c>
      <c r="R63" s="58">
        <f t="shared" si="120"/>
        <v>370500</v>
      </c>
      <c r="S63" s="58">
        <f t="shared" si="66"/>
        <v>1598959440</v>
      </c>
      <c r="T63" s="53">
        <v>750</v>
      </c>
      <c r="U63" s="53">
        <v>455</v>
      </c>
      <c r="V63" s="58">
        <f t="shared" si="121"/>
        <v>341250</v>
      </c>
      <c r="W63" s="58">
        <f t="shared" si="67"/>
        <v>1472725800</v>
      </c>
      <c r="X63" s="53">
        <v>750</v>
      </c>
      <c r="Y63" s="53">
        <v>520</v>
      </c>
      <c r="Z63" s="58">
        <f t="shared" si="122"/>
        <v>390000</v>
      </c>
      <c r="AA63" s="58">
        <f t="shared" si="68"/>
        <v>1683115200</v>
      </c>
      <c r="AB63" s="53">
        <v>750</v>
      </c>
      <c r="AC63" s="53">
        <v>533</v>
      </c>
      <c r="AD63" s="58">
        <f t="shared" si="123"/>
        <v>399750</v>
      </c>
      <c r="AE63" s="58">
        <f t="shared" si="69"/>
        <v>1725193080</v>
      </c>
      <c r="AF63" s="53">
        <v>750</v>
      </c>
      <c r="AG63" s="53">
        <v>624</v>
      </c>
      <c r="AH63" s="58">
        <f t="shared" si="124"/>
        <v>468000</v>
      </c>
      <c r="AI63" s="58">
        <f t="shared" si="70"/>
        <v>2019738240.0000002</v>
      </c>
      <c r="AJ63" s="53">
        <v>750</v>
      </c>
      <c r="AK63" s="53">
        <v>663</v>
      </c>
      <c r="AL63" s="58">
        <f t="shared" si="125"/>
        <v>497250</v>
      </c>
      <c r="AM63" s="58">
        <f t="shared" si="71"/>
        <v>2145971880.0000002</v>
      </c>
    </row>
    <row r="64" spans="1:39" x14ac:dyDescent="0.25">
      <c r="A64" s="51">
        <v>11.05</v>
      </c>
      <c r="B64" s="52" t="s">
        <v>10</v>
      </c>
      <c r="C64" s="53" t="s">
        <v>128</v>
      </c>
      <c r="D64" s="53">
        <v>159000</v>
      </c>
      <c r="E64" s="53">
        <v>1</v>
      </c>
      <c r="F64" s="58">
        <f t="shared" si="117"/>
        <v>159000</v>
      </c>
      <c r="G64" s="58">
        <f t="shared" si="63"/>
        <v>686193120</v>
      </c>
      <c r="H64" s="53">
        <v>159000</v>
      </c>
      <c r="I64" s="53">
        <v>1</v>
      </c>
      <c r="J64" s="58">
        <f t="shared" si="118"/>
        <v>159000</v>
      </c>
      <c r="K64" s="58">
        <f t="shared" si="64"/>
        <v>686193120</v>
      </c>
      <c r="L64" s="53">
        <v>159000</v>
      </c>
      <c r="M64" s="53">
        <v>1</v>
      </c>
      <c r="N64" s="58">
        <f t="shared" si="119"/>
        <v>159000</v>
      </c>
      <c r="O64" s="58">
        <f t="shared" si="65"/>
        <v>686193120</v>
      </c>
      <c r="P64" s="53">
        <v>159000</v>
      </c>
      <c r="Q64" s="53">
        <v>1</v>
      </c>
      <c r="R64" s="58">
        <f t="shared" si="120"/>
        <v>159000</v>
      </c>
      <c r="S64" s="58">
        <f t="shared" si="66"/>
        <v>686193120</v>
      </c>
      <c r="T64" s="53">
        <v>159000</v>
      </c>
      <c r="U64" s="53">
        <v>1</v>
      </c>
      <c r="V64" s="58">
        <f t="shared" si="121"/>
        <v>159000</v>
      </c>
      <c r="W64" s="58">
        <f t="shared" si="67"/>
        <v>686193120</v>
      </c>
      <c r="X64" s="53">
        <v>159000</v>
      </c>
      <c r="Y64" s="53">
        <v>1</v>
      </c>
      <c r="Z64" s="58">
        <f t="shared" si="122"/>
        <v>159000</v>
      </c>
      <c r="AA64" s="58">
        <f t="shared" si="68"/>
        <v>686193120</v>
      </c>
      <c r="AB64" s="53">
        <v>159000</v>
      </c>
      <c r="AC64" s="53">
        <v>1</v>
      </c>
      <c r="AD64" s="58">
        <f t="shared" si="123"/>
        <v>159000</v>
      </c>
      <c r="AE64" s="58">
        <f t="shared" si="69"/>
        <v>686193120</v>
      </c>
      <c r="AF64" s="53">
        <v>159000</v>
      </c>
      <c r="AG64" s="53">
        <v>1</v>
      </c>
      <c r="AH64" s="58">
        <f t="shared" si="124"/>
        <v>159000</v>
      </c>
      <c r="AI64" s="58">
        <f t="shared" si="70"/>
        <v>686193120</v>
      </c>
      <c r="AJ64" s="53">
        <v>159000</v>
      </c>
      <c r="AK64" s="53">
        <v>1</v>
      </c>
      <c r="AL64" s="58">
        <f t="shared" si="125"/>
        <v>159000</v>
      </c>
      <c r="AM64" s="58">
        <f t="shared" si="71"/>
        <v>686193120</v>
      </c>
    </row>
    <row r="65" spans="1:39" x14ac:dyDescent="0.25">
      <c r="A65" s="51">
        <v>11.06</v>
      </c>
      <c r="B65" s="52" t="s">
        <v>37</v>
      </c>
      <c r="C65" s="53" t="s">
        <v>128</v>
      </c>
      <c r="D65" s="53">
        <v>371000</v>
      </c>
      <c r="E65" s="53">
        <v>1</v>
      </c>
      <c r="F65" s="58">
        <f t="shared" si="117"/>
        <v>371000</v>
      </c>
      <c r="G65" s="58">
        <f t="shared" si="63"/>
        <v>1601117280</v>
      </c>
      <c r="H65" s="53">
        <v>371000</v>
      </c>
      <c r="I65" s="53">
        <v>1</v>
      </c>
      <c r="J65" s="58">
        <f t="shared" si="118"/>
        <v>371000</v>
      </c>
      <c r="K65" s="58">
        <f t="shared" si="64"/>
        <v>1601117280</v>
      </c>
      <c r="L65" s="53">
        <v>371000</v>
      </c>
      <c r="M65" s="53">
        <v>1</v>
      </c>
      <c r="N65" s="58">
        <f t="shared" si="119"/>
        <v>371000</v>
      </c>
      <c r="O65" s="58">
        <f t="shared" si="65"/>
        <v>1601117280</v>
      </c>
      <c r="P65" s="53">
        <v>371000</v>
      </c>
      <c r="Q65" s="53">
        <v>1</v>
      </c>
      <c r="R65" s="58">
        <f t="shared" si="120"/>
        <v>371000</v>
      </c>
      <c r="S65" s="58">
        <f t="shared" si="66"/>
        <v>1601117280</v>
      </c>
      <c r="T65" s="53">
        <v>371000</v>
      </c>
      <c r="U65" s="53">
        <v>1</v>
      </c>
      <c r="V65" s="58">
        <f t="shared" si="121"/>
        <v>371000</v>
      </c>
      <c r="W65" s="58">
        <f t="shared" si="67"/>
        <v>1601117280</v>
      </c>
      <c r="X65" s="53">
        <v>371000</v>
      </c>
      <c r="Y65" s="53">
        <v>1</v>
      </c>
      <c r="Z65" s="58">
        <f t="shared" si="122"/>
        <v>371000</v>
      </c>
      <c r="AA65" s="58">
        <f t="shared" si="68"/>
        <v>1601117280</v>
      </c>
      <c r="AB65" s="53">
        <v>371000</v>
      </c>
      <c r="AC65" s="53">
        <v>1</v>
      </c>
      <c r="AD65" s="58">
        <f t="shared" si="123"/>
        <v>371000</v>
      </c>
      <c r="AE65" s="58">
        <f t="shared" si="69"/>
        <v>1601117280</v>
      </c>
      <c r="AF65" s="53">
        <v>371000</v>
      </c>
      <c r="AG65" s="53">
        <v>1</v>
      </c>
      <c r="AH65" s="58">
        <f t="shared" si="124"/>
        <v>371000</v>
      </c>
      <c r="AI65" s="58">
        <f t="shared" si="70"/>
        <v>1601117280</v>
      </c>
      <c r="AJ65" s="53">
        <v>371000</v>
      </c>
      <c r="AK65" s="53">
        <v>1</v>
      </c>
      <c r="AL65" s="58">
        <f t="shared" si="125"/>
        <v>371000</v>
      </c>
      <c r="AM65" s="58">
        <f t="shared" si="71"/>
        <v>1601117280</v>
      </c>
    </row>
    <row r="66" spans="1:39" x14ac:dyDescent="0.25">
      <c r="A66" s="54">
        <v>12</v>
      </c>
      <c r="B66" s="55" t="s">
        <v>4</v>
      </c>
      <c r="C66" s="56"/>
      <c r="D66" s="56"/>
      <c r="E66" s="56"/>
      <c r="F66" s="57">
        <f>+F67</f>
        <v>2032285.8761491417</v>
      </c>
      <c r="G66" s="57">
        <f t="shared" si="63"/>
        <v>8770695509.9793282</v>
      </c>
      <c r="H66" s="56"/>
      <c r="I66" s="56"/>
      <c r="J66" s="57">
        <f>+J67</f>
        <v>1966980.3501293524</v>
      </c>
      <c r="K66" s="57">
        <f t="shared" si="64"/>
        <v>8488857757.4462442</v>
      </c>
      <c r="L66" s="56"/>
      <c r="M66" s="56"/>
      <c r="N66" s="57">
        <f>+N67</f>
        <v>2028915.9983342791</v>
      </c>
      <c r="O66" s="57">
        <f t="shared" si="65"/>
        <v>8756152195.6912823</v>
      </c>
      <c r="P66" s="56"/>
      <c r="Q66" s="56"/>
      <c r="R66" s="57">
        <f>+R67</f>
        <v>1359973.0824548227</v>
      </c>
      <c r="S66" s="57">
        <f t="shared" si="66"/>
        <v>5869208632.4886293</v>
      </c>
      <c r="T66" s="56"/>
      <c r="U66" s="56"/>
      <c r="V66" s="57">
        <f>+V67</f>
        <v>1325382.0782321077</v>
      </c>
      <c r="W66" s="57">
        <f t="shared" si="67"/>
        <v>5719924927.3847427</v>
      </c>
      <c r="X66" s="56"/>
      <c r="Y66" s="56"/>
      <c r="Z66" s="57">
        <f>+Z67</f>
        <v>1387387.5610994266</v>
      </c>
      <c r="AA66" s="57">
        <f t="shared" si="68"/>
        <v>5987520749.6855736</v>
      </c>
      <c r="AB66" s="56"/>
      <c r="AC66" s="56"/>
      <c r="AD66" s="57">
        <f>+AD67</f>
        <v>1447998.556131996</v>
      </c>
      <c r="AE66" s="57">
        <f t="shared" si="69"/>
        <v>6249098408.7277327</v>
      </c>
      <c r="AF66" s="56"/>
      <c r="AG66" s="56"/>
      <c r="AH66" s="57">
        <f>+AH67</f>
        <v>1536186.4133440286</v>
      </c>
      <c r="AI66" s="57">
        <f t="shared" si="70"/>
        <v>6629688980.3405581</v>
      </c>
      <c r="AJ66" s="56"/>
      <c r="AK66" s="56"/>
      <c r="AL66" s="57">
        <f>+AL67</f>
        <v>1590922.1752145125</v>
      </c>
      <c r="AM66" s="57">
        <f t="shared" si="71"/>
        <v>6865911013.1297674</v>
      </c>
    </row>
    <row r="67" spans="1:39" ht="18" x14ac:dyDescent="0.25">
      <c r="A67" s="51">
        <v>12.01</v>
      </c>
      <c r="B67" s="52" t="s">
        <v>32</v>
      </c>
      <c r="C67" s="53" t="s">
        <v>76</v>
      </c>
      <c r="D67" s="61">
        <v>7.4999999999999997E-2</v>
      </c>
      <c r="E67" s="53"/>
      <c r="F67" s="58">
        <f>+D67*(F5+F12+F18+F24+F29+F34+F39+F42+F44+F53+F59)</f>
        <v>2032285.8761491417</v>
      </c>
      <c r="G67" s="58">
        <f t="shared" si="63"/>
        <v>8770695509.9793282</v>
      </c>
      <c r="H67" s="61">
        <v>7.4999999999999997E-2</v>
      </c>
      <c r="I67" s="53"/>
      <c r="J67" s="58">
        <f>+H67*(J5+J12+J18+J24+J29+J34+J39+J42+J44+J53+J59)</f>
        <v>1966980.3501293524</v>
      </c>
      <c r="K67" s="58">
        <f t="shared" si="64"/>
        <v>8488857757.4462442</v>
      </c>
      <c r="L67" s="61">
        <v>7.4999999999999997E-2</v>
      </c>
      <c r="M67" s="53"/>
      <c r="N67" s="58">
        <f>+L67*(N5+N12+N18+N24+N29+N34+N39+N42+N44+N53+N59)</f>
        <v>2028915.9983342791</v>
      </c>
      <c r="O67" s="58">
        <f t="shared" si="65"/>
        <v>8756152195.6912823</v>
      </c>
      <c r="P67" s="61">
        <v>7.4999999999999997E-2</v>
      </c>
      <c r="Q67" s="53"/>
      <c r="R67" s="58">
        <f>+P67*(R5+R12+R18+R24+R29+R34+R39+R42+R44+R53+R59)</f>
        <v>1359973.0824548227</v>
      </c>
      <c r="S67" s="58">
        <f t="shared" si="66"/>
        <v>5869208632.4886293</v>
      </c>
      <c r="T67" s="61">
        <v>7.4999999999999997E-2</v>
      </c>
      <c r="U67" s="53"/>
      <c r="V67" s="58">
        <f>+T67*(V5+V12+V18+V24+V29+V34+V39+V42+V44+V53+V59)</f>
        <v>1325382.0782321077</v>
      </c>
      <c r="W67" s="58">
        <f t="shared" si="67"/>
        <v>5719924927.3847427</v>
      </c>
      <c r="X67" s="61">
        <v>7.4999999999999997E-2</v>
      </c>
      <c r="Y67" s="53"/>
      <c r="Z67" s="58">
        <f>+X67*(Z5+Z12+Z18+Z24+Z29+Z34+Z39+Z42+Z44+Z53+Z59)</f>
        <v>1387387.5610994266</v>
      </c>
      <c r="AA67" s="58">
        <f t="shared" si="68"/>
        <v>5987520749.6855736</v>
      </c>
      <c r="AB67" s="61">
        <v>7.4999999999999997E-2</v>
      </c>
      <c r="AC67" s="53"/>
      <c r="AD67" s="58">
        <f>+AB67*(AD5+AD12+AD18+AD24+AD29+AD34+AD39+AD42+AD44+AD53+AD59)</f>
        <v>1447998.556131996</v>
      </c>
      <c r="AE67" s="58">
        <f t="shared" si="69"/>
        <v>6249098408.7277327</v>
      </c>
      <c r="AF67" s="61">
        <v>7.4999999999999997E-2</v>
      </c>
      <c r="AG67" s="53"/>
      <c r="AH67" s="58">
        <f>+AF67*(AH5+AH12+AH18+AH24+AH29+AH34+AH39+AH42+AH44+AH53+AH59)</f>
        <v>1536186.4133440286</v>
      </c>
      <c r="AI67" s="58">
        <f t="shared" si="70"/>
        <v>6629688980.3405581</v>
      </c>
      <c r="AJ67" s="61">
        <v>7.4999999999999997E-2</v>
      </c>
      <c r="AK67" s="53"/>
      <c r="AL67" s="58">
        <f>+AJ67*(AL5+AL12+AL18+AL24+AL29+AL34+AL39+AL42+AL44+AL53+AL59)</f>
        <v>1590922.1752145125</v>
      </c>
      <c r="AM67" s="58">
        <f t="shared" si="71"/>
        <v>6865911013.1297674</v>
      </c>
    </row>
    <row r="68" spans="1:39" x14ac:dyDescent="0.25">
      <c r="A68" s="54">
        <v>13</v>
      </c>
      <c r="B68" s="55" t="s">
        <v>6</v>
      </c>
      <c r="C68" s="56"/>
      <c r="D68" s="56"/>
      <c r="E68" s="56"/>
      <c r="F68" s="57">
        <f>+F69</f>
        <v>2032285.8761491417</v>
      </c>
      <c r="G68" s="57">
        <f t="shared" si="63"/>
        <v>8770695509.9793282</v>
      </c>
      <c r="H68" s="56"/>
      <c r="I68" s="56"/>
      <c r="J68" s="57">
        <f>+J69</f>
        <v>1966980.3501293524</v>
      </c>
      <c r="K68" s="57">
        <f t="shared" si="64"/>
        <v>8488857757.4462442</v>
      </c>
      <c r="L68" s="56"/>
      <c r="M68" s="56"/>
      <c r="N68" s="57">
        <f>+N69</f>
        <v>2028915.9983342791</v>
      </c>
      <c r="O68" s="57">
        <f t="shared" si="65"/>
        <v>8756152195.6912823</v>
      </c>
      <c r="P68" s="56"/>
      <c r="Q68" s="56"/>
      <c r="R68" s="57">
        <f>+R69</f>
        <v>1359973.0824548227</v>
      </c>
      <c r="S68" s="57">
        <f t="shared" si="66"/>
        <v>5869208632.4886293</v>
      </c>
      <c r="T68" s="56"/>
      <c r="U68" s="56"/>
      <c r="V68" s="57">
        <f>+V69</f>
        <v>1325382.0782321077</v>
      </c>
      <c r="W68" s="57">
        <f t="shared" si="67"/>
        <v>5719924927.3847427</v>
      </c>
      <c r="X68" s="56"/>
      <c r="Y68" s="56"/>
      <c r="Z68" s="57">
        <f>+Z69</f>
        <v>1387387.5610994266</v>
      </c>
      <c r="AA68" s="57">
        <f t="shared" si="68"/>
        <v>5987520749.6855736</v>
      </c>
      <c r="AB68" s="56"/>
      <c r="AC68" s="56"/>
      <c r="AD68" s="57">
        <f>+AD69</f>
        <v>1447998.556131996</v>
      </c>
      <c r="AE68" s="57">
        <f t="shared" si="69"/>
        <v>6249098408.7277327</v>
      </c>
      <c r="AF68" s="56"/>
      <c r="AG68" s="56"/>
      <c r="AH68" s="57">
        <f>+AH69</f>
        <v>1536186.4133440286</v>
      </c>
      <c r="AI68" s="57">
        <f t="shared" si="70"/>
        <v>6629688980.3405581</v>
      </c>
      <c r="AJ68" s="56"/>
      <c r="AK68" s="56"/>
      <c r="AL68" s="57">
        <f>+AL69</f>
        <v>1590922.1752145125</v>
      </c>
      <c r="AM68" s="57">
        <f t="shared" si="71"/>
        <v>6865911013.1297674</v>
      </c>
    </row>
    <row r="69" spans="1:39" x14ac:dyDescent="0.25">
      <c r="A69" s="51">
        <v>13.01</v>
      </c>
      <c r="B69" s="52" t="s">
        <v>7</v>
      </c>
      <c r="C69" s="53" t="s">
        <v>76</v>
      </c>
      <c r="D69" s="61">
        <v>7.4999999999999997E-2</v>
      </c>
      <c r="E69" s="53"/>
      <c r="F69" s="58">
        <f>+D69*(F5+F12+F18+F24+F29+F34+F39+F42+F44+F53+F59)</f>
        <v>2032285.8761491417</v>
      </c>
      <c r="G69" s="58">
        <f t="shared" ref="G69:G72" si="126">+F69*$C$1</f>
        <v>8770695509.9793282</v>
      </c>
      <c r="H69" s="61">
        <v>7.4999999999999997E-2</v>
      </c>
      <c r="I69" s="53"/>
      <c r="J69" s="58">
        <f>+H69*(J5+J12+J18+J24+J29+J34+J39+J42+J44+J53+J59)</f>
        <v>1966980.3501293524</v>
      </c>
      <c r="K69" s="58">
        <f t="shared" ref="K69:K72" si="127">+J69*$C$1</f>
        <v>8488857757.4462442</v>
      </c>
      <c r="L69" s="61">
        <v>7.4999999999999997E-2</v>
      </c>
      <c r="M69" s="53"/>
      <c r="N69" s="58">
        <f>+L69*(N5+N12+N18+N24+N29+N34+N39+N42+N44+N53+N59)</f>
        <v>2028915.9983342791</v>
      </c>
      <c r="O69" s="58">
        <f t="shared" ref="O69:O72" si="128">+N69*$C$1</f>
        <v>8756152195.6912823</v>
      </c>
      <c r="P69" s="61">
        <v>7.4999999999999997E-2</v>
      </c>
      <c r="Q69" s="53"/>
      <c r="R69" s="58">
        <f>+P69*(R5+R12+R18+R24+R29+R34+R39+R42+R44+R53+R59)</f>
        <v>1359973.0824548227</v>
      </c>
      <c r="S69" s="58">
        <f t="shared" ref="S69:S72" si="129">+R69*$C$1</f>
        <v>5869208632.4886293</v>
      </c>
      <c r="T69" s="61">
        <v>7.4999999999999997E-2</v>
      </c>
      <c r="U69" s="53"/>
      <c r="V69" s="58">
        <f>+T69*(V5+V12+V18+V24+V29+V34+V39+V42+V44+V53+V59)</f>
        <v>1325382.0782321077</v>
      </c>
      <c r="W69" s="58">
        <f t="shared" ref="W69:W72" si="130">+V69*$C$1</f>
        <v>5719924927.3847427</v>
      </c>
      <c r="X69" s="61">
        <v>7.4999999999999997E-2</v>
      </c>
      <c r="Y69" s="53"/>
      <c r="Z69" s="58">
        <f>+X69*(Z5+Z12+Z18+Z24+Z29+Z34+Z39+Z42+Z44+Z53+Z59)</f>
        <v>1387387.5610994266</v>
      </c>
      <c r="AA69" s="58">
        <f t="shared" ref="AA69:AA72" si="131">+Z69*$C$1</f>
        <v>5987520749.6855736</v>
      </c>
      <c r="AB69" s="61">
        <v>7.4999999999999997E-2</v>
      </c>
      <c r="AC69" s="53"/>
      <c r="AD69" s="58">
        <f>+AB69*(AD5+AD12+AD18+AD24+AD29+AD34+AD39+AD42+AD44+AD53+AD59)</f>
        <v>1447998.556131996</v>
      </c>
      <c r="AE69" s="58">
        <f t="shared" ref="AE69:AE72" si="132">+AD69*$C$1</f>
        <v>6249098408.7277327</v>
      </c>
      <c r="AF69" s="61">
        <v>7.4999999999999997E-2</v>
      </c>
      <c r="AG69" s="53"/>
      <c r="AH69" s="58">
        <f>+AF69*(AH5+AH12+AH18+AH24+AH29+AH34+AH39+AH42+AH44+AH53+AH59)</f>
        <v>1536186.4133440286</v>
      </c>
      <c r="AI69" s="58">
        <f t="shared" ref="AI69:AI72" si="133">+AH69*$C$1</f>
        <v>6629688980.3405581</v>
      </c>
      <c r="AJ69" s="61">
        <v>7.4999999999999997E-2</v>
      </c>
      <c r="AK69" s="53"/>
      <c r="AL69" s="58">
        <f>+AJ69*(AL5+AL12+AL18+AL24+AL29+AL34+AL39+AL42+AL44+AL53+AL59)</f>
        <v>1590922.1752145125</v>
      </c>
      <c r="AM69" s="58">
        <f t="shared" ref="AM69:AM72" si="134">+AL69*$C$1</f>
        <v>6865911013.1297674</v>
      </c>
    </row>
    <row r="70" spans="1:39" x14ac:dyDescent="0.25">
      <c r="A70" s="54">
        <v>14</v>
      </c>
      <c r="B70" s="55" t="s">
        <v>29</v>
      </c>
      <c r="C70" s="56"/>
      <c r="D70" s="56"/>
      <c r="E70" s="56"/>
      <c r="F70" s="57">
        <f>+F71</f>
        <v>135485.72507660947</v>
      </c>
      <c r="G70" s="57">
        <f t="shared" si="126"/>
        <v>584713033.99862194</v>
      </c>
      <c r="H70" s="56"/>
      <c r="I70" s="56"/>
      <c r="J70" s="57">
        <f>+J71</f>
        <v>131132.02334195684</v>
      </c>
      <c r="K70" s="57">
        <f t="shared" si="127"/>
        <v>565923850.49641633</v>
      </c>
      <c r="L70" s="56"/>
      <c r="M70" s="56"/>
      <c r="N70" s="57">
        <f>+N71</f>
        <v>135261.0665556186</v>
      </c>
      <c r="O70" s="57">
        <f t="shared" si="128"/>
        <v>583743479.7127521</v>
      </c>
      <c r="P70" s="56"/>
      <c r="Q70" s="56"/>
      <c r="R70" s="57">
        <f>+R71</f>
        <v>90664.872163654843</v>
      </c>
      <c r="S70" s="57">
        <f t="shared" si="129"/>
        <v>391280575.49924195</v>
      </c>
      <c r="T70" s="56"/>
      <c r="U70" s="56"/>
      <c r="V70" s="57">
        <f>+V71</f>
        <v>88358.805215473854</v>
      </c>
      <c r="W70" s="57">
        <f t="shared" si="130"/>
        <v>381328328.49231625</v>
      </c>
      <c r="X70" s="56"/>
      <c r="Y70" s="56"/>
      <c r="Z70" s="57">
        <f>+Z71</f>
        <v>92492.504073295117</v>
      </c>
      <c r="AA70" s="57">
        <f t="shared" si="131"/>
        <v>399168049.9790383</v>
      </c>
      <c r="AB70" s="56"/>
      <c r="AC70" s="56"/>
      <c r="AD70" s="57">
        <f>+AD71</f>
        <v>96533.237075466401</v>
      </c>
      <c r="AE70" s="57">
        <f t="shared" si="132"/>
        <v>416606560.58184886</v>
      </c>
      <c r="AF70" s="56"/>
      <c r="AG70" s="56"/>
      <c r="AH70" s="57">
        <f>+AH71</f>
        <v>102412.42755626858</v>
      </c>
      <c r="AI70" s="57">
        <f t="shared" si="133"/>
        <v>441979265.3560372</v>
      </c>
      <c r="AJ70" s="56"/>
      <c r="AK70" s="56"/>
      <c r="AL70" s="57">
        <f>+AL71</f>
        <v>106061.47834763417</v>
      </c>
      <c r="AM70" s="57">
        <f t="shared" si="134"/>
        <v>457727400.87531787</v>
      </c>
    </row>
    <row r="71" spans="1:39" x14ac:dyDescent="0.25">
      <c r="A71" s="51">
        <v>14.01</v>
      </c>
      <c r="B71" s="52" t="s">
        <v>77</v>
      </c>
      <c r="C71" s="53" t="s">
        <v>76</v>
      </c>
      <c r="D71" s="62">
        <v>5.0000000000000001E-3</v>
      </c>
      <c r="E71" s="53"/>
      <c r="F71" s="58">
        <f>+D71*(F5+F12+F18+F24+F29+F34+F39+F42+F44+F53+F59)</f>
        <v>135485.72507660947</v>
      </c>
      <c r="G71" s="58">
        <f t="shared" si="126"/>
        <v>584713033.99862194</v>
      </c>
      <c r="H71" s="62">
        <v>5.0000000000000001E-3</v>
      </c>
      <c r="I71" s="53"/>
      <c r="J71" s="58">
        <f>+H71*(J5+J12+J18+J24+J29+J34+J39+J42+J44+J53+J59)</f>
        <v>131132.02334195684</v>
      </c>
      <c r="K71" s="58">
        <f t="shared" si="127"/>
        <v>565923850.49641633</v>
      </c>
      <c r="L71" s="62">
        <v>5.0000000000000001E-3</v>
      </c>
      <c r="M71" s="53"/>
      <c r="N71" s="58">
        <f>+L71*(N5+N12+N18+N24+N29+N34+N39+N42+N44+N53+N59)</f>
        <v>135261.0665556186</v>
      </c>
      <c r="O71" s="58">
        <f t="shared" si="128"/>
        <v>583743479.7127521</v>
      </c>
      <c r="P71" s="62">
        <v>5.0000000000000001E-3</v>
      </c>
      <c r="Q71" s="53"/>
      <c r="R71" s="58">
        <f>+P71*(R5+R12+R18+R24+R29+R34+R39+R42+R44+R53+R59)</f>
        <v>90664.872163654843</v>
      </c>
      <c r="S71" s="58">
        <f t="shared" si="129"/>
        <v>391280575.49924195</v>
      </c>
      <c r="T71" s="62">
        <v>5.0000000000000001E-3</v>
      </c>
      <c r="U71" s="53"/>
      <c r="V71" s="58">
        <f>+T71*(V5+V12+V18+V24+V29+V34+V39+V42+V44+V53+V59)</f>
        <v>88358.805215473854</v>
      </c>
      <c r="W71" s="58">
        <f t="shared" si="130"/>
        <v>381328328.49231625</v>
      </c>
      <c r="X71" s="62">
        <v>5.0000000000000001E-3</v>
      </c>
      <c r="Y71" s="53"/>
      <c r="Z71" s="58">
        <f>+X71*(Z5+Z12+Z18+Z24+Z29+Z34+Z39+Z42+Z44+Z53+Z59)</f>
        <v>92492.504073295117</v>
      </c>
      <c r="AA71" s="58">
        <f t="shared" si="131"/>
        <v>399168049.9790383</v>
      </c>
      <c r="AB71" s="62">
        <v>5.0000000000000001E-3</v>
      </c>
      <c r="AC71" s="53"/>
      <c r="AD71" s="58">
        <f>+AB71*(AD5+AD12+AD18+AD24+AD29+AD34+AD39+AD42+AD44+AD53+AD59)</f>
        <v>96533.237075466401</v>
      </c>
      <c r="AE71" s="58">
        <f t="shared" si="132"/>
        <v>416606560.58184886</v>
      </c>
      <c r="AF71" s="62">
        <v>5.0000000000000001E-3</v>
      </c>
      <c r="AG71" s="53"/>
      <c r="AH71" s="58">
        <f>+AF71*(AH5+AH12+AH18+AH24+AH29+AH34+AH39+AH42+AH44+AH53+AH59)</f>
        <v>102412.42755626858</v>
      </c>
      <c r="AI71" s="58">
        <f t="shared" si="133"/>
        <v>441979265.3560372</v>
      </c>
      <c r="AJ71" s="62">
        <v>5.0000000000000001E-3</v>
      </c>
      <c r="AK71" s="53"/>
      <c r="AL71" s="58">
        <f>+AJ71*(AL5+AL12+AL18+AL24+AL29+AL34+AL39+AL42+AL44+AL53+AL59)</f>
        <v>106061.47834763417</v>
      </c>
      <c r="AM71" s="58">
        <f t="shared" si="134"/>
        <v>457727400.87531787</v>
      </c>
    </row>
    <row r="72" spans="1:39" x14ac:dyDescent="0.25">
      <c r="A72" s="66"/>
      <c r="B72" s="67" t="s">
        <v>134</v>
      </c>
      <c r="C72" s="68"/>
      <c r="D72" s="68"/>
      <c r="E72" s="68"/>
      <c r="F72" s="69">
        <f>+F5+F12+F18+F24+F29+F34+F39+F42+F44+F53+F59+F66+F68+F70</f>
        <v>31297202.492696781</v>
      </c>
      <c r="G72" s="69">
        <f t="shared" si="126"/>
        <v>135068710853.68166</v>
      </c>
      <c r="H72" s="68"/>
      <c r="I72" s="68"/>
      <c r="J72" s="69">
        <f>+J5+J12+J18+J24+J29+J34+J39+J42+J44+J53+J59+J66+J68+J70</f>
        <v>30291497.391992025</v>
      </c>
      <c r="K72" s="69">
        <f t="shared" si="127"/>
        <v>130728409464.67215</v>
      </c>
      <c r="L72" s="68"/>
      <c r="M72" s="68"/>
      <c r="N72" s="69">
        <f>+N5+N12+N18+N24+N29+N34+N39+N42+N44+N53+N59+N66+N68+N70</f>
        <v>31245306.374347895</v>
      </c>
      <c r="O72" s="69">
        <f t="shared" si="128"/>
        <v>134844743813.64574</v>
      </c>
      <c r="P72" s="68"/>
      <c r="Q72" s="68"/>
      <c r="R72" s="69">
        <f>+R5+R12+R18+R24+R29+R34+R39+R42+R44+R53+R59+R66+R68+R70</f>
        <v>20943585.469804268</v>
      </c>
      <c r="S72" s="69">
        <f t="shared" si="129"/>
        <v>90385812940.32489</v>
      </c>
      <c r="T72" s="68"/>
      <c r="U72" s="68"/>
      <c r="V72" s="69">
        <f>+V5+V12+V18+V24+V29+V34+V39+V42+V44+V53+V59+V66+V68+V70</f>
        <v>20410884.004774462</v>
      </c>
      <c r="W72" s="69">
        <f t="shared" si="130"/>
        <v>88086843881.725052</v>
      </c>
      <c r="X72" s="68"/>
      <c r="Y72" s="68"/>
      <c r="Z72" s="69">
        <f>+Z5+Z12+Z18+Z24+Z29+Z34+Z39+Z42+Z44+Z53+Z59+Z66+Z68+Z70</f>
        <v>21365768.440931167</v>
      </c>
      <c r="AA72" s="69">
        <f t="shared" si="131"/>
        <v>92207819545.157822</v>
      </c>
      <c r="AB72" s="68"/>
      <c r="AC72" s="68"/>
      <c r="AD72" s="69">
        <f>+AD5+AD12+AD18+AD24+AD29+AD34+AD39+AD42+AD44+AD53+AD59+AD66+AD68+AD70</f>
        <v>22299177.764432739</v>
      </c>
      <c r="AE72" s="69">
        <f t="shared" si="132"/>
        <v>96236115494.407089</v>
      </c>
      <c r="AF72" s="68"/>
      <c r="AG72" s="68"/>
      <c r="AH72" s="69">
        <f>+AH5+AH12+AH18+AH24+AH29+AH34+AH39+AH42+AH44+AH53+AH59+AH66+AH68+AH70</f>
        <v>23657270.765498042</v>
      </c>
      <c r="AI72" s="69">
        <f t="shared" si="133"/>
        <v>102097210297.2446</v>
      </c>
      <c r="AJ72" s="68"/>
      <c r="AK72" s="68"/>
      <c r="AL72" s="69">
        <f>+AL5+AL12+AL18+AL24+AL29+AL34+AL39+AL42+AL44+AL53+AL59+AL66+AL68+AL70</f>
        <v>24500201.498303495</v>
      </c>
      <c r="AM72" s="69">
        <f t="shared" si="134"/>
        <v>105735029602.19844</v>
      </c>
    </row>
    <row r="73" spans="1:39" ht="32.450000000000003" customHeight="1" x14ac:dyDescent="0.25"/>
    <row r="74" spans="1:39" x14ac:dyDescent="0.25">
      <c r="A74" s="116"/>
      <c r="B74" s="118" t="s">
        <v>133</v>
      </c>
      <c r="C74" s="119"/>
      <c r="D74" s="119"/>
      <c r="E74" s="120"/>
      <c r="F74" s="115" t="s">
        <v>129</v>
      </c>
      <c r="G74" s="115" t="s">
        <v>131</v>
      </c>
      <c r="H74" s="119"/>
      <c r="I74" s="120"/>
      <c r="J74" s="115" t="s">
        <v>129</v>
      </c>
      <c r="K74" s="115" t="s">
        <v>131</v>
      </c>
      <c r="L74" s="119"/>
      <c r="M74" s="120"/>
      <c r="N74" s="115" t="s">
        <v>129</v>
      </c>
      <c r="O74" s="115" t="s">
        <v>131</v>
      </c>
      <c r="P74" s="119"/>
      <c r="Q74" s="120"/>
      <c r="R74" s="115" t="s">
        <v>129</v>
      </c>
      <c r="S74" s="115" t="s">
        <v>131</v>
      </c>
      <c r="T74" s="119"/>
      <c r="U74" s="120"/>
      <c r="V74" s="115" t="s">
        <v>129</v>
      </c>
      <c r="W74" s="115" t="s">
        <v>131</v>
      </c>
      <c r="X74" s="119"/>
      <c r="Y74" s="120"/>
      <c r="Z74" s="115" t="s">
        <v>129</v>
      </c>
      <c r="AA74" s="115" t="s">
        <v>131</v>
      </c>
      <c r="AB74" s="119"/>
      <c r="AC74" s="120"/>
      <c r="AD74" s="115" t="s">
        <v>129</v>
      </c>
      <c r="AE74" s="115" t="s">
        <v>131</v>
      </c>
      <c r="AF74" s="119"/>
      <c r="AG74" s="120"/>
      <c r="AH74" s="115" t="s">
        <v>129</v>
      </c>
      <c r="AI74" s="115" t="s">
        <v>131</v>
      </c>
      <c r="AJ74" s="119"/>
      <c r="AK74" s="120"/>
      <c r="AL74" s="115" t="s">
        <v>129</v>
      </c>
      <c r="AM74" s="115" t="s">
        <v>131</v>
      </c>
    </row>
    <row r="75" spans="1:39" x14ac:dyDescent="0.25">
      <c r="A75" s="117">
        <v>1</v>
      </c>
      <c r="B75" s="121" t="s">
        <v>2</v>
      </c>
      <c r="C75" s="122"/>
      <c r="D75" s="122"/>
      <c r="E75" s="123"/>
      <c r="F75" s="134">
        <f>+F5</f>
        <v>1446692.076923077</v>
      </c>
      <c r="G75" s="134">
        <f t="shared" ref="G75:G88" si="135">ROUND(+$C$1*F75,-3)</f>
        <v>6243460000</v>
      </c>
      <c r="H75" s="122"/>
      <c r="I75" s="123"/>
      <c r="J75" s="134">
        <f>+J5</f>
        <v>1446692.076923077</v>
      </c>
      <c r="K75" s="134">
        <f t="shared" ref="K75:K88" si="136">ROUND(+$C$1*J75,-3)</f>
        <v>6243460000</v>
      </c>
      <c r="L75" s="122"/>
      <c r="M75" s="123"/>
      <c r="N75" s="134">
        <f>+N5</f>
        <v>1446692.076923077</v>
      </c>
      <c r="O75" s="134">
        <f t="shared" ref="O75:O88" si="137">ROUND(+$C$1*N75,-3)</f>
        <v>6243460000</v>
      </c>
      <c r="P75" s="122"/>
      <c r="Q75" s="123"/>
      <c r="R75" s="134">
        <f>+R5</f>
        <v>1315174.6153846155</v>
      </c>
      <c r="S75" s="134">
        <f t="shared" ref="S75:S88" si="138">ROUND(+$C$1*R75,-3)</f>
        <v>5675873000</v>
      </c>
      <c r="T75" s="122"/>
      <c r="U75" s="123"/>
      <c r="V75" s="134">
        <f>+V5</f>
        <v>1315174.6153846155</v>
      </c>
      <c r="W75" s="134">
        <f t="shared" ref="W75:W88" si="139">ROUND(+$C$1*V75,-3)</f>
        <v>5675873000</v>
      </c>
      <c r="X75" s="122"/>
      <c r="Y75" s="123"/>
      <c r="Z75" s="134">
        <f>+Z5</f>
        <v>1315174.6153846155</v>
      </c>
      <c r="AA75" s="134">
        <f t="shared" ref="AA75:AA88" si="140">ROUND(+$C$1*Z75,-3)</f>
        <v>5675873000</v>
      </c>
      <c r="AB75" s="122"/>
      <c r="AC75" s="123"/>
      <c r="AD75" s="134">
        <f>+AD5</f>
        <v>1315174.6153846155</v>
      </c>
      <c r="AE75" s="134">
        <f t="shared" ref="AE75:AE88" si="141">ROUND(+$C$1*AD75,-3)</f>
        <v>5675873000</v>
      </c>
      <c r="AF75" s="122"/>
      <c r="AG75" s="123"/>
      <c r="AH75" s="134">
        <f>+AH5</f>
        <v>1315174.6153846155</v>
      </c>
      <c r="AI75" s="134">
        <f t="shared" ref="AI75:AI88" si="142">ROUND(+$C$1*AH75,-3)</f>
        <v>5675873000</v>
      </c>
      <c r="AJ75" s="122"/>
      <c r="AK75" s="123"/>
      <c r="AL75" s="134">
        <f>+AL5</f>
        <v>1315174.6153846155</v>
      </c>
      <c r="AM75" s="134">
        <f t="shared" ref="AM75:AM88" si="143">ROUND(+$C$1*AL75,-3)</f>
        <v>5675873000</v>
      </c>
    </row>
    <row r="76" spans="1:39" x14ac:dyDescent="0.25">
      <c r="A76" s="70">
        <v>2</v>
      </c>
      <c r="B76" s="121" t="s">
        <v>3</v>
      </c>
      <c r="C76" s="122"/>
      <c r="D76" s="122"/>
      <c r="E76" s="123"/>
      <c r="F76" s="135">
        <f>+F12</f>
        <v>4052163.4292068947</v>
      </c>
      <c r="G76" s="135">
        <f t="shared" si="135"/>
        <v>17487841000</v>
      </c>
      <c r="H76" s="122"/>
      <c r="I76" s="123"/>
      <c r="J76" s="135">
        <f>+J12</f>
        <v>4036179.3036074801</v>
      </c>
      <c r="K76" s="135">
        <f t="shared" si="136"/>
        <v>17418858000</v>
      </c>
      <c r="L76" s="122"/>
      <c r="M76" s="123"/>
      <c r="N76" s="135">
        <f>+N12</f>
        <v>4062819.5129398378</v>
      </c>
      <c r="O76" s="135">
        <f t="shared" si="137"/>
        <v>17533829000</v>
      </c>
      <c r="P76" s="122"/>
      <c r="Q76" s="123"/>
      <c r="R76" s="135">
        <f>+R12</f>
        <v>3007971.9802416586</v>
      </c>
      <c r="S76" s="135">
        <f t="shared" si="138"/>
        <v>12981445000</v>
      </c>
      <c r="T76" s="122"/>
      <c r="U76" s="123"/>
      <c r="V76" s="135">
        <f>+V12</f>
        <v>2994305.5528541594</v>
      </c>
      <c r="W76" s="135">
        <f t="shared" si="139"/>
        <v>12922465000</v>
      </c>
      <c r="X76" s="122"/>
      <c r="Y76" s="123"/>
      <c r="Z76" s="135">
        <f>+Z12</f>
        <v>3017082.931833325</v>
      </c>
      <c r="AA76" s="135">
        <f t="shared" si="140"/>
        <v>13020764000</v>
      </c>
      <c r="AB76" s="122"/>
      <c r="AC76" s="123"/>
      <c r="AD76" s="135">
        <f>+AD12</f>
        <v>3021638.4076291579</v>
      </c>
      <c r="AE76" s="135">
        <f t="shared" si="141"/>
        <v>13040424000</v>
      </c>
      <c r="AF76" s="122"/>
      <c r="AG76" s="123"/>
      <c r="AH76" s="135">
        <f>+AH12</f>
        <v>3053526.7381999898</v>
      </c>
      <c r="AI76" s="135">
        <f t="shared" si="142"/>
        <v>13178044000</v>
      </c>
      <c r="AJ76" s="122"/>
      <c r="AK76" s="123"/>
      <c r="AL76" s="135">
        <f>+AL12</f>
        <v>3067193.165587489</v>
      </c>
      <c r="AM76" s="135">
        <f t="shared" si="143"/>
        <v>13237024000</v>
      </c>
    </row>
    <row r="77" spans="1:39" x14ac:dyDescent="0.25">
      <c r="A77" s="70">
        <v>3</v>
      </c>
      <c r="B77" s="121" t="s">
        <v>12</v>
      </c>
      <c r="C77" s="122"/>
      <c r="D77" s="122"/>
      <c r="E77" s="123"/>
      <c r="F77" s="135">
        <f>+F18</f>
        <v>2128581.947872668</v>
      </c>
      <c r="G77" s="135">
        <f t="shared" si="135"/>
        <v>9186279000</v>
      </c>
      <c r="H77" s="122"/>
      <c r="I77" s="123"/>
      <c r="J77" s="135">
        <f>+J18</f>
        <v>2128581.947872668</v>
      </c>
      <c r="K77" s="135">
        <f t="shared" si="136"/>
        <v>9186279000</v>
      </c>
      <c r="L77" s="122"/>
      <c r="M77" s="123"/>
      <c r="N77" s="135">
        <f>+N18</f>
        <v>2128581.947872668</v>
      </c>
      <c r="O77" s="135">
        <f t="shared" si="137"/>
        <v>9186279000</v>
      </c>
      <c r="P77" s="122"/>
      <c r="Q77" s="123"/>
      <c r="R77" s="135">
        <f>+R18</f>
        <v>1896405.4</v>
      </c>
      <c r="S77" s="135">
        <f t="shared" si="138"/>
        <v>8184279000</v>
      </c>
      <c r="T77" s="122"/>
      <c r="U77" s="123"/>
      <c r="V77" s="135">
        <f>+V18</f>
        <v>1896405.4</v>
      </c>
      <c r="W77" s="135">
        <f t="shared" si="139"/>
        <v>8184279000</v>
      </c>
      <c r="X77" s="122"/>
      <c r="Y77" s="123"/>
      <c r="Z77" s="135">
        <f>+Z18</f>
        <v>1896405.4</v>
      </c>
      <c r="AA77" s="135">
        <f t="shared" si="140"/>
        <v>8184279000</v>
      </c>
      <c r="AB77" s="122"/>
      <c r="AC77" s="123"/>
      <c r="AD77" s="135">
        <f>+AD18</f>
        <v>1896405.4</v>
      </c>
      <c r="AE77" s="135">
        <f t="shared" si="141"/>
        <v>8184279000</v>
      </c>
      <c r="AF77" s="122"/>
      <c r="AG77" s="123"/>
      <c r="AH77" s="135">
        <f>+AH18</f>
        <v>1896405.4</v>
      </c>
      <c r="AI77" s="135">
        <f t="shared" si="142"/>
        <v>8184279000</v>
      </c>
      <c r="AJ77" s="122"/>
      <c r="AK77" s="123"/>
      <c r="AL77" s="135">
        <f>+AL18</f>
        <v>1896405.4</v>
      </c>
      <c r="AM77" s="135">
        <f t="shared" si="143"/>
        <v>8184279000</v>
      </c>
    </row>
    <row r="78" spans="1:39" x14ac:dyDescent="0.25">
      <c r="A78" s="70">
        <v>4</v>
      </c>
      <c r="B78" s="121" t="s">
        <v>13</v>
      </c>
      <c r="C78" s="122"/>
      <c r="D78" s="122"/>
      <c r="E78" s="123"/>
      <c r="F78" s="135">
        <f>+F24</f>
        <v>4141800.5215302124</v>
      </c>
      <c r="G78" s="135">
        <f t="shared" si="135"/>
        <v>17874686000</v>
      </c>
      <c r="H78" s="122"/>
      <c r="I78" s="123"/>
      <c r="J78" s="135">
        <f>+J24</f>
        <v>3586694.8182262904</v>
      </c>
      <c r="K78" s="135">
        <f t="shared" si="136"/>
        <v>15479027000</v>
      </c>
      <c r="L78" s="122"/>
      <c r="M78" s="123"/>
      <c r="N78" s="135">
        <f>+N24</f>
        <v>3955258.6881506564</v>
      </c>
      <c r="O78" s="135">
        <f t="shared" si="137"/>
        <v>17069631000</v>
      </c>
      <c r="P78" s="122"/>
      <c r="Q78" s="123"/>
      <c r="R78" s="135">
        <f>+R24</f>
        <v>2411330.2791031376</v>
      </c>
      <c r="S78" s="135">
        <f t="shared" si="138"/>
        <v>10406530000</v>
      </c>
      <c r="T78" s="122"/>
      <c r="U78" s="123"/>
      <c r="V78" s="135">
        <f>+V24</f>
        <v>2223544.3398086224</v>
      </c>
      <c r="W78" s="135">
        <f t="shared" si="139"/>
        <v>9596106000</v>
      </c>
      <c r="X78" s="122"/>
      <c r="Y78" s="123"/>
      <c r="Z78" s="135">
        <f>+Z24</f>
        <v>2589254.0274700699</v>
      </c>
      <c r="AA78" s="135">
        <f t="shared" si="140"/>
        <v>11174392000</v>
      </c>
      <c r="AB78" s="122"/>
      <c r="AC78" s="123"/>
      <c r="AD78" s="135">
        <f>+AD24</f>
        <v>3126006.4443601174</v>
      </c>
      <c r="AE78" s="135">
        <f t="shared" si="141"/>
        <v>13490843000</v>
      </c>
      <c r="AF78" s="122"/>
      <c r="AG78" s="123"/>
      <c r="AH78" s="135">
        <f>+AH24</f>
        <v>3637401.4562929748</v>
      </c>
      <c r="AI78" s="135">
        <f t="shared" si="142"/>
        <v>15697861000</v>
      </c>
      <c r="AJ78" s="122"/>
      <c r="AK78" s="123"/>
      <c r="AL78" s="135">
        <f>+AL24</f>
        <v>4065641.1642244114</v>
      </c>
      <c r="AM78" s="135">
        <f t="shared" si="143"/>
        <v>17546006000</v>
      </c>
    </row>
    <row r="79" spans="1:39" x14ac:dyDescent="0.25">
      <c r="A79" s="70">
        <v>5</v>
      </c>
      <c r="B79" s="121" t="s">
        <v>14</v>
      </c>
      <c r="C79" s="122"/>
      <c r="D79" s="122"/>
      <c r="E79" s="123"/>
      <c r="F79" s="135">
        <f>+F29</f>
        <v>4153769.2145359335</v>
      </c>
      <c r="G79" s="135">
        <f t="shared" si="135"/>
        <v>17926339000</v>
      </c>
      <c r="H79" s="122"/>
      <c r="I79" s="123"/>
      <c r="J79" s="135">
        <f>+J29</f>
        <v>4004386.554781409</v>
      </c>
      <c r="K79" s="135">
        <f t="shared" si="136"/>
        <v>17281651000</v>
      </c>
      <c r="L79" s="122"/>
      <c r="M79" s="123"/>
      <c r="N79" s="135">
        <f>+N29</f>
        <v>4260741.0211359318</v>
      </c>
      <c r="O79" s="135">
        <f t="shared" si="137"/>
        <v>18387995000</v>
      </c>
      <c r="P79" s="122"/>
      <c r="Q79" s="123"/>
      <c r="R79" s="135">
        <f>+R29</f>
        <v>1827944.1736931745</v>
      </c>
      <c r="S79" s="135">
        <f t="shared" si="138"/>
        <v>7888822000</v>
      </c>
      <c r="T79" s="122"/>
      <c r="U79" s="123"/>
      <c r="V79" s="135">
        <f>+V29</f>
        <v>1689643.623184389</v>
      </c>
      <c r="W79" s="135">
        <f t="shared" si="139"/>
        <v>7291961000</v>
      </c>
      <c r="X79" s="122"/>
      <c r="Y79" s="123"/>
      <c r="Z79" s="135">
        <f>+Z29</f>
        <v>1920144.5406990312</v>
      </c>
      <c r="AA79" s="135">
        <f t="shared" si="140"/>
        <v>8286729000</v>
      </c>
      <c r="AB79" s="122"/>
      <c r="AC79" s="123"/>
      <c r="AD79" s="135">
        <f>+AD29</f>
        <v>1973628.0909656086</v>
      </c>
      <c r="AE79" s="135">
        <f t="shared" si="141"/>
        <v>8517547000</v>
      </c>
      <c r="AF79" s="122"/>
      <c r="AG79" s="123"/>
      <c r="AH79" s="135">
        <f>+AH29</f>
        <v>2303712.7422497566</v>
      </c>
      <c r="AI79" s="135">
        <f t="shared" si="142"/>
        <v>9942087000</v>
      </c>
      <c r="AJ79" s="122"/>
      <c r="AK79" s="123"/>
      <c r="AL79" s="135">
        <f>+AL29</f>
        <v>2442013.2927585421</v>
      </c>
      <c r="AM79" s="135">
        <f t="shared" si="143"/>
        <v>10538948000</v>
      </c>
    </row>
    <row r="80" spans="1:39" x14ac:dyDescent="0.25">
      <c r="A80" s="70">
        <v>6</v>
      </c>
      <c r="B80" s="121" t="s">
        <v>15</v>
      </c>
      <c r="C80" s="122"/>
      <c r="D80" s="122"/>
      <c r="E80" s="123"/>
      <c r="F80" s="135">
        <f>+F34</f>
        <v>527998.78487078554</v>
      </c>
      <c r="G80" s="135">
        <f t="shared" si="135"/>
        <v>2278674000</v>
      </c>
      <c r="H80" s="122"/>
      <c r="I80" s="123"/>
      <c r="J80" s="135">
        <f>+J34</f>
        <v>527998.78487078554</v>
      </c>
      <c r="K80" s="135">
        <f t="shared" si="136"/>
        <v>2278674000</v>
      </c>
      <c r="L80" s="122"/>
      <c r="M80" s="123"/>
      <c r="N80" s="135">
        <f>+N34</f>
        <v>527998.78487078554</v>
      </c>
      <c r="O80" s="135">
        <f t="shared" si="137"/>
        <v>2278674000</v>
      </c>
      <c r="P80" s="122"/>
      <c r="Q80" s="123"/>
      <c r="R80" s="135">
        <f>+R34</f>
        <v>377000</v>
      </c>
      <c r="S80" s="135">
        <f t="shared" si="138"/>
        <v>1627011000</v>
      </c>
      <c r="T80" s="122"/>
      <c r="U80" s="123"/>
      <c r="V80" s="135">
        <f>+V34</f>
        <v>377000</v>
      </c>
      <c r="W80" s="135">
        <f t="shared" si="139"/>
        <v>1627011000</v>
      </c>
      <c r="X80" s="122"/>
      <c r="Y80" s="123"/>
      <c r="Z80" s="135">
        <f>+Z34</f>
        <v>377000</v>
      </c>
      <c r="AA80" s="135">
        <f t="shared" si="140"/>
        <v>1627011000</v>
      </c>
      <c r="AB80" s="122"/>
      <c r="AC80" s="123"/>
      <c r="AD80" s="135">
        <f>+AD34</f>
        <v>377000</v>
      </c>
      <c r="AE80" s="135">
        <f t="shared" si="141"/>
        <v>1627011000</v>
      </c>
      <c r="AF80" s="122"/>
      <c r="AG80" s="123"/>
      <c r="AH80" s="135">
        <f>+AH34</f>
        <v>377000</v>
      </c>
      <c r="AI80" s="135">
        <f t="shared" si="142"/>
        <v>1627011000</v>
      </c>
      <c r="AJ80" s="122"/>
      <c r="AK80" s="123"/>
      <c r="AL80" s="135">
        <f>+AL34</f>
        <v>377000</v>
      </c>
      <c r="AM80" s="135">
        <f t="shared" si="143"/>
        <v>1627011000</v>
      </c>
    </row>
    <row r="81" spans="1:39" x14ac:dyDescent="0.25">
      <c r="A81" s="70">
        <v>7</v>
      </c>
      <c r="B81" s="121" t="s">
        <v>20</v>
      </c>
      <c r="C81" s="122"/>
      <c r="D81" s="122"/>
      <c r="E81" s="123"/>
      <c r="F81" s="135">
        <f>+F39</f>
        <v>1084910</v>
      </c>
      <c r="G81" s="135">
        <f t="shared" si="135"/>
        <v>4682124000</v>
      </c>
      <c r="H81" s="122"/>
      <c r="I81" s="123"/>
      <c r="J81" s="135">
        <f>+J39</f>
        <v>1036150</v>
      </c>
      <c r="K81" s="135">
        <f t="shared" si="136"/>
        <v>4471692000</v>
      </c>
      <c r="L81" s="122"/>
      <c r="M81" s="123"/>
      <c r="N81" s="135">
        <f>+N39</f>
        <v>1121480</v>
      </c>
      <c r="O81" s="135">
        <f t="shared" si="137"/>
        <v>4839949000</v>
      </c>
      <c r="P81" s="122"/>
      <c r="Q81" s="123"/>
      <c r="R81" s="135">
        <f>+R39</f>
        <v>646070</v>
      </c>
      <c r="S81" s="135">
        <f t="shared" si="138"/>
        <v>2788231000</v>
      </c>
      <c r="T81" s="122"/>
      <c r="U81" s="123"/>
      <c r="V81" s="135">
        <f>+V39</f>
        <v>585120</v>
      </c>
      <c r="W81" s="135">
        <f t="shared" si="139"/>
        <v>2525191000</v>
      </c>
      <c r="X81" s="122"/>
      <c r="Y81" s="123"/>
      <c r="Z81" s="135">
        <f>+Z39</f>
        <v>682640</v>
      </c>
      <c r="AA81" s="135">
        <f t="shared" si="140"/>
        <v>2946056000</v>
      </c>
      <c r="AB81" s="122"/>
      <c r="AC81" s="123"/>
      <c r="AD81" s="135">
        <f>+AD39</f>
        <v>828920</v>
      </c>
      <c r="AE81" s="135">
        <f t="shared" si="141"/>
        <v>3577353000</v>
      </c>
      <c r="AF81" s="122"/>
      <c r="AG81" s="123"/>
      <c r="AH81" s="135">
        <f>+AH39</f>
        <v>999580</v>
      </c>
      <c r="AI81" s="135">
        <f t="shared" si="142"/>
        <v>4313867000</v>
      </c>
      <c r="AJ81" s="122"/>
      <c r="AK81" s="123"/>
      <c r="AL81" s="135">
        <f>+AL39</f>
        <v>1060530</v>
      </c>
      <c r="AM81" s="135">
        <f t="shared" si="143"/>
        <v>4576908000</v>
      </c>
    </row>
    <row r="82" spans="1:39" x14ac:dyDescent="0.25">
      <c r="A82" s="70">
        <v>8</v>
      </c>
      <c r="B82" s="121" t="s">
        <v>22</v>
      </c>
      <c r="C82" s="122"/>
      <c r="D82" s="122"/>
      <c r="E82" s="123"/>
      <c r="F82" s="135">
        <f>+F42</f>
        <v>349800</v>
      </c>
      <c r="G82" s="135">
        <f t="shared" si="135"/>
        <v>1509625000</v>
      </c>
      <c r="H82" s="122"/>
      <c r="I82" s="123"/>
      <c r="J82" s="135">
        <f>+J42</f>
        <v>349800</v>
      </c>
      <c r="K82" s="135">
        <f t="shared" si="136"/>
        <v>1509625000</v>
      </c>
      <c r="L82" s="122"/>
      <c r="M82" s="123"/>
      <c r="N82" s="135">
        <f>+N42</f>
        <v>349800</v>
      </c>
      <c r="O82" s="135">
        <f t="shared" si="137"/>
        <v>1509625000</v>
      </c>
      <c r="P82" s="122"/>
      <c r="Q82" s="123"/>
      <c r="R82" s="135">
        <f>+R42</f>
        <v>318000</v>
      </c>
      <c r="S82" s="135">
        <f t="shared" si="138"/>
        <v>1372386000</v>
      </c>
      <c r="T82" s="122"/>
      <c r="U82" s="123"/>
      <c r="V82" s="135">
        <f>+V42</f>
        <v>318000</v>
      </c>
      <c r="W82" s="135">
        <f t="shared" si="139"/>
        <v>1372386000</v>
      </c>
      <c r="X82" s="122"/>
      <c r="Y82" s="123"/>
      <c r="Z82" s="135">
        <f>+Z42</f>
        <v>318000</v>
      </c>
      <c r="AA82" s="135">
        <f t="shared" si="140"/>
        <v>1372386000</v>
      </c>
      <c r="AB82" s="122"/>
      <c r="AC82" s="123"/>
      <c r="AD82" s="135">
        <f>+AD42</f>
        <v>318000</v>
      </c>
      <c r="AE82" s="135">
        <f t="shared" si="141"/>
        <v>1372386000</v>
      </c>
      <c r="AF82" s="122"/>
      <c r="AG82" s="123"/>
      <c r="AH82" s="135">
        <f>+AH42</f>
        <v>318000</v>
      </c>
      <c r="AI82" s="135">
        <f t="shared" si="142"/>
        <v>1372386000</v>
      </c>
      <c r="AJ82" s="122"/>
      <c r="AK82" s="123"/>
      <c r="AL82" s="135">
        <f>+AL42</f>
        <v>318000</v>
      </c>
      <c r="AM82" s="135">
        <f t="shared" si="143"/>
        <v>1372386000</v>
      </c>
    </row>
    <row r="83" spans="1:39" x14ac:dyDescent="0.25">
      <c r="A83" s="70">
        <v>9</v>
      </c>
      <c r="B83" s="121" t="s">
        <v>23</v>
      </c>
      <c r="C83" s="122"/>
      <c r="D83" s="122"/>
      <c r="E83" s="123"/>
      <c r="F83" s="135">
        <f>+F44</f>
        <v>1294038.0403823236</v>
      </c>
      <c r="G83" s="135">
        <f t="shared" si="135"/>
        <v>5584654000</v>
      </c>
      <c r="H83" s="122"/>
      <c r="I83" s="123"/>
      <c r="J83" s="135">
        <f>+J44</f>
        <v>1290574.1821096586</v>
      </c>
      <c r="K83" s="135">
        <f t="shared" si="136"/>
        <v>5569705000</v>
      </c>
      <c r="L83" s="122"/>
      <c r="M83" s="123"/>
      <c r="N83" s="135">
        <f>+N44</f>
        <v>1296347.2792307672</v>
      </c>
      <c r="O83" s="135">
        <f t="shared" si="137"/>
        <v>5594620000</v>
      </c>
      <c r="P83" s="122"/>
      <c r="Q83" s="123"/>
      <c r="R83" s="135">
        <f>+R44</f>
        <v>1078287.984308382</v>
      </c>
      <c r="S83" s="135">
        <f t="shared" si="138"/>
        <v>4653546000</v>
      </c>
      <c r="T83" s="122"/>
      <c r="U83" s="123"/>
      <c r="V83" s="135">
        <f>+V44</f>
        <v>1075170.5118629835</v>
      </c>
      <c r="W83" s="135">
        <f t="shared" si="139"/>
        <v>4640092000</v>
      </c>
      <c r="X83" s="122"/>
      <c r="Y83" s="123"/>
      <c r="Z83" s="135">
        <f>+Z44</f>
        <v>1080366.299271981</v>
      </c>
      <c r="AA83" s="135">
        <f t="shared" si="140"/>
        <v>4662515000</v>
      </c>
      <c r="AB83" s="122"/>
      <c r="AC83" s="123"/>
      <c r="AD83" s="135">
        <f>+AD44</f>
        <v>1081405.4567537806</v>
      </c>
      <c r="AE83" s="135">
        <f t="shared" si="141"/>
        <v>4667000000</v>
      </c>
      <c r="AF83" s="122"/>
      <c r="AG83" s="123"/>
      <c r="AH83" s="135">
        <f>+AH44</f>
        <v>1088679.5591263773</v>
      </c>
      <c r="AI83" s="135">
        <f t="shared" si="142"/>
        <v>4698393000</v>
      </c>
      <c r="AJ83" s="122"/>
      <c r="AK83" s="123"/>
      <c r="AL83" s="135">
        <f>+AL44</f>
        <v>1091797.0315717759</v>
      </c>
      <c r="AM83" s="135">
        <f t="shared" si="143"/>
        <v>4711847000</v>
      </c>
    </row>
    <row r="84" spans="1:39" x14ac:dyDescent="0.25">
      <c r="A84" s="70">
        <v>10</v>
      </c>
      <c r="B84" s="121" t="s">
        <v>127</v>
      </c>
      <c r="C84" s="122"/>
      <c r="D84" s="122"/>
      <c r="E84" s="123"/>
      <c r="F84" s="135">
        <f>+F53</f>
        <v>1197641</v>
      </c>
      <c r="G84" s="135">
        <f t="shared" si="135"/>
        <v>5168635000</v>
      </c>
      <c r="H84" s="122"/>
      <c r="I84" s="123"/>
      <c r="J84" s="135">
        <f>+J53</f>
        <v>1128847</v>
      </c>
      <c r="K84" s="135">
        <f t="shared" si="136"/>
        <v>4871742000</v>
      </c>
      <c r="L84" s="122"/>
      <c r="M84" s="123"/>
      <c r="N84" s="135">
        <f>+N53</f>
        <v>1163244</v>
      </c>
      <c r="O84" s="135">
        <f t="shared" si="137"/>
        <v>5020189000</v>
      </c>
      <c r="P84" s="122"/>
      <c r="Q84" s="123"/>
      <c r="R84" s="135">
        <f>+R53</f>
        <v>844290</v>
      </c>
      <c r="S84" s="135">
        <f t="shared" si="138"/>
        <v>3643685000</v>
      </c>
      <c r="T84" s="122"/>
      <c r="U84" s="123"/>
      <c r="V84" s="135">
        <f>+V53</f>
        <v>816147</v>
      </c>
      <c r="W84" s="135">
        <f t="shared" si="139"/>
        <v>3522229000</v>
      </c>
      <c r="X84" s="122"/>
      <c r="Y84" s="123"/>
      <c r="Z84" s="135">
        <f>+Z53</f>
        <v>872433</v>
      </c>
      <c r="AA84" s="135">
        <f t="shared" si="140"/>
        <v>3765142000</v>
      </c>
      <c r="AB84" s="122"/>
      <c r="AC84" s="123"/>
      <c r="AD84" s="135">
        <f>+AD53</f>
        <v>928719</v>
      </c>
      <c r="AE84" s="135">
        <f t="shared" si="141"/>
        <v>4008054000</v>
      </c>
      <c r="AF84" s="122"/>
      <c r="AG84" s="123"/>
      <c r="AH84" s="135">
        <f>+AH53</f>
        <v>985005</v>
      </c>
      <c r="AI84" s="135">
        <f t="shared" si="142"/>
        <v>4250966000</v>
      </c>
      <c r="AJ84" s="122"/>
      <c r="AK84" s="123"/>
      <c r="AL84" s="135">
        <f>+AL53</f>
        <v>1041291</v>
      </c>
      <c r="AM84" s="135">
        <f t="shared" si="143"/>
        <v>4493879000</v>
      </c>
    </row>
    <row r="85" spans="1:39" x14ac:dyDescent="0.25">
      <c r="A85" s="70">
        <v>11</v>
      </c>
      <c r="B85" s="121" t="s">
        <v>170</v>
      </c>
      <c r="C85" s="122"/>
      <c r="D85" s="122"/>
      <c r="E85" s="123"/>
      <c r="F85" s="135">
        <f>+F59</f>
        <v>6719750</v>
      </c>
      <c r="G85" s="135">
        <f t="shared" si="135"/>
        <v>29000291000</v>
      </c>
      <c r="H85" s="122"/>
      <c r="I85" s="123"/>
      <c r="J85" s="135">
        <f>+J59</f>
        <v>6690500</v>
      </c>
      <c r="K85" s="135">
        <f t="shared" si="136"/>
        <v>28874057000</v>
      </c>
      <c r="L85" s="122"/>
      <c r="M85" s="123"/>
      <c r="N85" s="135">
        <f>+N59</f>
        <v>6739250</v>
      </c>
      <c r="O85" s="135">
        <f t="shared" si="137"/>
        <v>29084446000</v>
      </c>
      <c r="P85" s="122"/>
      <c r="Q85" s="123"/>
      <c r="R85" s="135">
        <f>+R59</f>
        <v>4410500</v>
      </c>
      <c r="S85" s="135">
        <f t="shared" si="138"/>
        <v>19034307000</v>
      </c>
      <c r="T85" s="122"/>
      <c r="U85" s="123"/>
      <c r="V85" s="135">
        <f>+V59</f>
        <v>4381250</v>
      </c>
      <c r="W85" s="135">
        <f t="shared" si="139"/>
        <v>18908073000</v>
      </c>
      <c r="X85" s="122"/>
      <c r="Y85" s="123"/>
      <c r="Z85" s="135">
        <f>+Z59</f>
        <v>4430000</v>
      </c>
      <c r="AA85" s="135">
        <f t="shared" si="140"/>
        <v>19118462000</v>
      </c>
      <c r="AB85" s="122"/>
      <c r="AC85" s="123"/>
      <c r="AD85" s="135">
        <f>+AD59</f>
        <v>4439750</v>
      </c>
      <c r="AE85" s="135">
        <f t="shared" si="141"/>
        <v>19160540000</v>
      </c>
      <c r="AF85" s="122"/>
      <c r="AG85" s="123"/>
      <c r="AH85" s="135">
        <f>+AH59</f>
        <v>4508000</v>
      </c>
      <c r="AI85" s="135">
        <f t="shared" si="142"/>
        <v>19455085000</v>
      </c>
      <c r="AJ85" s="122"/>
      <c r="AK85" s="123"/>
      <c r="AL85" s="135">
        <f>+AL59</f>
        <v>4537250</v>
      </c>
      <c r="AM85" s="135">
        <f t="shared" si="143"/>
        <v>19581319000</v>
      </c>
    </row>
    <row r="86" spans="1:39" x14ac:dyDescent="0.25">
      <c r="A86" s="70">
        <v>12</v>
      </c>
      <c r="B86" s="121" t="s">
        <v>4</v>
      </c>
      <c r="C86" s="122"/>
      <c r="D86" s="122"/>
      <c r="E86" s="123"/>
      <c r="F86" s="135">
        <f t="shared" ref="F86" si="144">+F66</f>
        <v>2032285.8761491417</v>
      </c>
      <c r="G86" s="135">
        <f t="shared" si="135"/>
        <v>8770696000</v>
      </c>
      <c r="H86" s="122"/>
      <c r="I86" s="123"/>
      <c r="J86" s="135">
        <f t="shared" ref="J86" si="145">+J66</f>
        <v>1966980.3501293524</v>
      </c>
      <c r="K86" s="135">
        <f t="shared" si="136"/>
        <v>8488858000</v>
      </c>
      <c r="L86" s="122"/>
      <c r="M86" s="123"/>
      <c r="N86" s="135">
        <f t="shared" ref="N86" si="146">+N66</f>
        <v>2028915.9983342791</v>
      </c>
      <c r="O86" s="135">
        <f t="shared" si="137"/>
        <v>8756152000</v>
      </c>
      <c r="P86" s="122"/>
      <c r="Q86" s="123"/>
      <c r="R86" s="135">
        <f t="shared" ref="R86" si="147">+R66</f>
        <v>1359973.0824548227</v>
      </c>
      <c r="S86" s="135">
        <f t="shared" si="138"/>
        <v>5869209000</v>
      </c>
      <c r="T86" s="122"/>
      <c r="U86" s="123"/>
      <c r="V86" s="135">
        <f t="shared" ref="V86" si="148">+V66</f>
        <v>1325382.0782321077</v>
      </c>
      <c r="W86" s="135">
        <f t="shared" si="139"/>
        <v>5719925000</v>
      </c>
      <c r="X86" s="122"/>
      <c r="Y86" s="123"/>
      <c r="Z86" s="135">
        <f t="shared" ref="Z86" si="149">+Z66</f>
        <v>1387387.5610994266</v>
      </c>
      <c r="AA86" s="135">
        <f t="shared" si="140"/>
        <v>5987521000</v>
      </c>
      <c r="AB86" s="122"/>
      <c r="AC86" s="123"/>
      <c r="AD86" s="135">
        <f t="shared" ref="AD86" si="150">+AD66</f>
        <v>1447998.556131996</v>
      </c>
      <c r="AE86" s="135">
        <f t="shared" si="141"/>
        <v>6249098000</v>
      </c>
      <c r="AF86" s="122"/>
      <c r="AG86" s="123"/>
      <c r="AH86" s="135">
        <f t="shared" ref="AH86" si="151">+AH66</f>
        <v>1536186.4133440286</v>
      </c>
      <c r="AI86" s="135">
        <f t="shared" si="142"/>
        <v>6629689000</v>
      </c>
      <c r="AJ86" s="122"/>
      <c r="AK86" s="123"/>
      <c r="AL86" s="135">
        <f t="shared" ref="AL86" si="152">+AL66</f>
        <v>1590922.1752145125</v>
      </c>
      <c r="AM86" s="135">
        <f t="shared" si="143"/>
        <v>6865911000</v>
      </c>
    </row>
    <row r="87" spans="1:39" x14ac:dyDescent="0.25">
      <c r="A87" s="70">
        <v>13</v>
      </c>
      <c r="B87" s="121" t="s">
        <v>6</v>
      </c>
      <c r="C87" s="122"/>
      <c r="D87" s="122"/>
      <c r="E87" s="123"/>
      <c r="F87" s="135">
        <f t="shared" ref="F87" si="153">+F68</f>
        <v>2032285.8761491417</v>
      </c>
      <c r="G87" s="135">
        <f t="shared" si="135"/>
        <v>8770696000</v>
      </c>
      <c r="H87" s="122"/>
      <c r="I87" s="123"/>
      <c r="J87" s="135">
        <f t="shared" ref="J87" si="154">+J68</f>
        <v>1966980.3501293524</v>
      </c>
      <c r="K87" s="135">
        <f t="shared" si="136"/>
        <v>8488858000</v>
      </c>
      <c r="L87" s="122"/>
      <c r="M87" s="123"/>
      <c r="N87" s="135">
        <f t="shared" ref="N87" si="155">+N68</f>
        <v>2028915.9983342791</v>
      </c>
      <c r="O87" s="135">
        <f t="shared" si="137"/>
        <v>8756152000</v>
      </c>
      <c r="P87" s="122"/>
      <c r="Q87" s="123"/>
      <c r="R87" s="135">
        <f t="shared" ref="R87" si="156">+R68</f>
        <v>1359973.0824548227</v>
      </c>
      <c r="S87" s="135">
        <f t="shared" si="138"/>
        <v>5869209000</v>
      </c>
      <c r="T87" s="122"/>
      <c r="U87" s="123"/>
      <c r="V87" s="135">
        <f t="shared" ref="V87" si="157">+V68</f>
        <v>1325382.0782321077</v>
      </c>
      <c r="W87" s="135">
        <f t="shared" si="139"/>
        <v>5719925000</v>
      </c>
      <c r="X87" s="122"/>
      <c r="Y87" s="123"/>
      <c r="Z87" s="135">
        <f t="shared" ref="Z87" si="158">+Z68</f>
        <v>1387387.5610994266</v>
      </c>
      <c r="AA87" s="135">
        <f t="shared" si="140"/>
        <v>5987521000</v>
      </c>
      <c r="AB87" s="122"/>
      <c r="AC87" s="123"/>
      <c r="AD87" s="135">
        <f t="shared" ref="AD87" si="159">+AD68</f>
        <v>1447998.556131996</v>
      </c>
      <c r="AE87" s="135">
        <f t="shared" si="141"/>
        <v>6249098000</v>
      </c>
      <c r="AF87" s="122"/>
      <c r="AG87" s="123"/>
      <c r="AH87" s="135">
        <f t="shared" ref="AH87" si="160">+AH68</f>
        <v>1536186.4133440286</v>
      </c>
      <c r="AI87" s="135">
        <f t="shared" si="142"/>
        <v>6629689000</v>
      </c>
      <c r="AJ87" s="122"/>
      <c r="AK87" s="123"/>
      <c r="AL87" s="135">
        <f t="shared" ref="AL87" si="161">+AL68</f>
        <v>1590922.1752145125</v>
      </c>
      <c r="AM87" s="135">
        <f t="shared" si="143"/>
        <v>6865911000</v>
      </c>
    </row>
    <row r="88" spans="1:39" x14ac:dyDescent="0.25">
      <c r="A88" s="70">
        <v>14</v>
      </c>
      <c r="B88" s="125" t="s">
        <v>29</v>
      </c>
      <c r="C88" s="126"/>
      <c r="D88" s="126"/>
      <c r="E88" s="127"/>
      <c r="F88" s="135">
        <f t="shared" ref="F88" si="162">+F70</f>
        <v>135485.72507660947</v>
      </c>
      <c r="G88" s="135">
        <f t="shared" si="135"/>
        <v>584713000</v>
      </c>
      <c r="H88" s="126"/>
      <c r="I88" s="127"/>
      <c r="J88" s="135">
        <f t="shared" ref="J88" si="163">+J70</f>
        <v>131132.02334195684</v>
      </c>
      <c r="K88" s="135">
        <f t="shared" si="136"/>
        <v>565924000</v>
      </c>
      <c r="L88" s="126"/>
      <c r="M88" s="127"/>
      <c r="N88" s="135">
        <f t="shared" ref="N88" si="164">+N70</f>
        <v>135261.0665556186</v>
      </c>
      <c r="O88" s="135">
        <f t="shared" si="137"/>
        <v>583743000</v>
      </c>
      <c r="P88" s="126"/>
      <c r="Q88" s="127"/>
      <c r="R88" s="135">
        <f t="shared" ref="R88" si="165">+R70</f>
        <v>90664.872163654843</v>
      </c>
      <c r="S88" s="135">
        <f t="shared" si="138"/>
        <v>391281000</v>
      </c>
      <c r="T88" s="126"/>
      <c r="U88" s="127"/>
      <c r="V88" s="135">
        <f t="shared" ref="V88" si="166">+V70</f>
        <v>88358.805215473854</v>
      </c>
      <c r="W88" s="135">
        <f t="shared" si="139"/>
        <v>381328000</v>
      </c>
      <c r="X88" s="126"/>
      <c r="Y88" s="127"/>
      <c r="Z88" s="135">
        <f t="shared" ref="Z88" si="167">+Z70</f>
        <v>92492.504073295117</v>
      </c>
      <c r="AA88" s="135">
        <f t="shared" si="140"/>
        <v>399168000</v>
      </c>
      <c r="AB88" s="126"/>
      <c r="AC88" s="127"/>
      <c r="AD88" s="135">
        <f t="shared" ref="AD88" si="168">+AD70</f>
        <v>96533.237075466401</v>
      </c>
      <c r="AE88" s="135">
        <f t="shared" si="141"/>
        <v>416607000</v>
      </c>
      <c r="AF88" s="126"/>
      <c r="AG88" s="127"/>
      <c r="AH88" s="135">
        <f t="shared" ref="AH88" si="169">+AH70</f>
        <v>102412.42755626858</v>
      </c>
      <c r="AI88" s="135">
        <f t="shared" si="142"/>
        <v>441979000</v>
      </c>
      <c r="AJ88" s="126"/>
      <c r="AK88" s="127"/>
      <c r="AL88" s="135">
        <f t="shared" ref="AL88" si="170">+AL70</f>
        <v>106061.47834763417</v>
      </c>
      <c r="AM88" s="135">
        <f t="shared" si="143"/>
        <v>457727000</v>
      </c>
    </row>
    <row r="89" spans="1:39" x14ac:dyDescent="0.25">
      <c r="A89" s="124"/>
      <c r="B89" s="128" t="s">
        <v>134</v>
      </c>
      <c r="C89" s="129"/>
      <c r="D89" s="129"/>
      <c r="E89" s="130"/>
      <c r="F89" s="136">
        <f>+SUM(F75:F88)</f>
        <v>31297202.492696781</v>
      </c>
      <c r="G89" s="136">
        <f>+SUM(G75:G88)</f>
        <v>135068713000</v>
      </c>
      <c r="H89" s="129"/>
      <c r="I89" s="130"/>
      <c r="J89" s="136">
        <f>+SUM(J75:J88)</f>
        <v>30291497.391992025</v>
      </c>
      <c r="K89" s="136">
        <f>+SUM(K75:K88)</f>
        <v>130728410000</v>
      </c>
      <c r="L89" s="129"/>
      <c r="M89" s="130"/>
      <c r="N89" s="136">
        <f>+SUM(N75:N88)</f>
        <v>31245306.374347895</v>
      </c>
      <c r="O89" s="136">
        <f>+SUM(O75:O88)</f>
        <v>134844744000</v>
      </c>
      <c r="P89" s="129"/>
      <c r="Q89" s="130"/>
      <c r="R89" s="136">
        <f>+SUM(R75:R88)</f>
        <v>20943585.469804268</v>
      </c>
      <c r="S89" s="136">
        <f>+SUM(S75:S88)</f>
        <v>90385814000</v>
      </c>
      <c r="T89" s="129"/>
      <c r="U89" s="130"/>
      <c r="V89" s="136">
        <f>+SUM(V75:V88)</f>
        <v>20410884.004774462</v>
      </c>
      <c r="W89" s="136">
        <f>+SUM(W75:W88)</f>
        <v>88086844000</v>
      </c>
      <c r="X89" s="129"/>
      <c r="Y89" s="130"/>
      <c r="Z89" s="136">
        <f>+SUM(Z75:Z88)</f>
        <v>21365768.440931167</v>
      </c>
      <c r="AA89" s="136">
        <f>+SUM(AA75:AA88)</f>
        <v>92207819000</v>
      </c>
      <c r="AB89" s="129"/>
      <c r="AC89" s="130"/>
      <c r="AD89" s="136">
        <f>+SUM(AD75:AD88)</f>
        <v>22299177.764432739</v>
      </c>
      <c r="AE89" s="136">
        <f>+SUM(AE75:AE88)</f>
        <v>96236113000</v>
      </c>
      <c r="AF89" s="129"/>
      <c r="AG89" s="130"/>
      <c r="AH89" s="136">
        <f>+SUM(AH75:AH88)</f>
        <v>23657270.765498042</v>
      </c>
      <c r="AI89" s="136">
        <f>+SUM(AI75:AI88)</f>
        <v>102097209000</v>
      </c>
      <c r="AJ89" s="129"/>
      <c r="AK89" s="130"/>
      <c r="AL89" s="136">
        <f>+SUM(AL75:AL88)</f>
        <v>24500201.498303495</v>
      </c>
      <c r="AM89" s="136">
        <f>+SUM(AM75:AM88)</f>
        <v>105735029000</v>
      </c>
    </row>
    <row r="90" spans="1:39" ht="18" customHeight="1" x14ac:dyDescent="0.25"/>
    <row r="91" spans="1:39" s="183" customFormat="1" ht="25.5" x14ac:dyDescent="0.25">
      <c r="A91" s="184"/>
      <c r="B91" s="185" t="s">
        <v>240</v>
      </c>
      <c r="C91" s="186"/>
      <c r="D91" s="186"/>
      <c r="E91" s="187"/>
      <c r="F91" s="188" t="s">
        <v>129</v>
      </c>
      <c r="G91" s="188" t="s">
        <v>131</v>
      </c>
      <c r="H91" s="186"/>
      <c r="I91" s="187"/>
      <c r="J91" s="188" t="s">
        <v>129</v>
      </c>
      <c r="K91" s="188" t="s">
        <v>131</v>
      </c>
      <c r="L91" s="186"/>
      <c r="M91" s="187"/>
      <c r="N91" s="188" t="s">
        <v>129</v>
      </c>
      <c r="O91" s="188" t="s">
        <v>131</v>
      </c>
      <c r="P91" s="186"/>
      <c r="Q91" s="187"/>
      <c r="R91" s="188" t="s">
        <v>129</v>
      </c>
      <c r="S91" s="188" t="s">
        <v>131</v>
      </c>
      <c r="T91" s="186"/>
      <c r="U91" s="187"/>
      <c r="V91" s="188" t="s">
        <v>129</v>
      </c>
      <c r="W91" s="188" t="s">
        <v>131</v>
      </c>
      <c r="X91" s="186"/>
      <c r="Y91" s="187"/>
      <c r="Z91" s="188" t="s">
        <v>129</v>
      </c>
      <c r="AA91" s="188" t="s">
        <v>131</v>
      </c>
      <c r="AB91" s="186"/>
      <c r="AC91" s="187"/>
      <c r="AD91" s="188" t="s">
        <v>129</v>
      </c>
      <c r="AE91" s="188" t="s">
        <v>131</v>
      </c>
      <c r="AF91" s="186"/>
      <c r="AG91" s="187"/>
      <c r="AH91" s="188" t="s">
        <v>129</v>
      </c>
      <c r="AI91" s="188" t="s">
        <v>131</v>
      </c>
      <c r="AJ91" s="186"/>
      <c r="AK91" s="187"/>
      <c r="AL91" s="188" t="s">
        <v>129</v>
      </c>
      <c r="AM91" s="188" t="s">
        <v>131</v>
      </c>
    </row>
    <row r="92" spans="1:39" x14ac:dyDescent="0.25">
      <c r="A92" s="117">
        <v>1</v>
      </c>
      <c r="B92" s="121" t="s">
        <v>224</v>
      </c>
      <c r="C92" s="122"/>
      <c r="D92" s="122"/>
      <c r="E92" s="123"/>
      <c r="F92" s="134">
        <f>+F75</f>
        <v>1446692.076923077</v>
      </c>
      <c r="G92" s="134">
        <f t="shared" ref="G92:G97" si="171">ROUND(+$C$1*F92,-3)</f>
        <v>6243460000</v>
      </c>
      <c r="H92" s="122"/>
      <c r="I92" s="123"/>
      <c r="J92" s="134">
        <f>+J75</f>
        <v>1446692.076923077</v>
      </c>
      <c r="K92" s="134">
        <f t="shared" ref="K92:K97" si="172">ROUND(+$C$1*J92,-3)</f>
        <v>6243460000</v>
      </c>
      <c r="L92" s="122"/>
      <c r="M92" s="123"/>
      <c r="N92" s="134">
        <f>+N75</f>
        <v>1446692.076923077</v>
      </c>
      <c r="O92" s="134">
        <f t="shared" ref="O92:O97" si="173">ROUND(+$C$1*N92,-3)</f>
        <v>6243460000</v>
      </c>
      <c r="P92" s="122"/>
      <c r="Q92" s="123"/>
      <c r="R92" s="134">
        <f>+R75</f>
        <v>1315174.6153846155</v>
      </c>
      <c r="S92" s="134">
        <f t="shared" ref="S92:S97" si="174">ROUND(+$C$1*R92,-3)</f>
        <v>5675873000</v>
      </c>
      <c r="T92" s="122"/>
      <c r="U92" s="123"/>
      <c r="V92" s="134">
        <f>+V75</f>
        <v>1315174.6153846155</v>
      </c>
      <c r="W92" s="134">
        <f t="shared" ref="W92:W97" si="175">ROUND(+$C$1*V92,-3)</f>
        <v>5675873000</v>
      </c>
      <c r="X92" s="122"/>
      <c r="Y92" s="123"/>
      <c r="Z92" s="134">
        <f>+Z75</f>
        <v>1315174.6153846155</v>
      </c>
      <c r="AA92" s="134">
        <f t="shared" ref="AA92:AA97" si="176">ROUND(+$C$1*Z92,-3)</f>
        <v>5675873000</v>
      </c>
      <c r="AB92" s="122"/>
      <c r="AC92" s="123"/>
      <c r="AD92" s="134">
        <f>+AD75</f>
        <v>1315174.6153846155</v>
      </c>
      <c r="AE92" s="134">
        <f t="shared" ref="AE92:AE97" si="177">ROUND(+$C$1*AD92,-3)</f>
        <v>5675873000</v>
      </c>
      <c r="AF92" s="122"/>
      <c r="AG92" s="123"/>
      <c r="AH92" s="134">
        <f>+AH75</f>
        <v>1315174.6153846155</v>
      </c>
      <c r="AI92" s="134">
        <f t="shared" ref="AI92:AI97" si="178">ROUND(+$C$1*AH92,-3)</f>
        <v>5675873000</v>
      </c>
      <c r="AJ92" s="122"/>
      <c r="AK92" s="123"/>
      <c r="AL92" s="134">
        <f>+AL75</f>
        <v>1315174.6153846155</v>
      </c>
      <c r="AM92" s="134">
        <f t="shared" ref="AM92:AM97" si="179">ROUND(+$C$1*AL92,-3)</f>
        <v>5675873000</v>
      </c>
    </row>
    <row r="93" spans="1:39" x14ac:dyDescent="0.25">
      <c r="A93" s="70">
        <v>2</v>
      </c>
      <c r="B93" s="121" t="s">
        <v>225</v>
      </c>
      <c r="C93" s="122"/>
      <c r="D93" s="122"/>
      <c r="E93" s="123"/>
      <c r="F93" s="135">
        <f>+F12+F18</f>
        <v>6180745.3770795632</v>
      </c>
      <c r="G93" s="134">
        <f t="shared" si="171"/>
        <v>26674119000</v>
      </c>
      <c r="H93" s="122"/>
      <c r="I93" s="123"/>
      <c r="J93" s="135">
        <f>+J12+J18</f>
        <v>6164761.2514801482</v>
      </c>
      <c r="K93" s="134">
        <f t="shared" si="172"/>
        <v>26605137000</v>
      </c>
      <c r="L93" s="122"/>
      <c r="M93" s="123"/>
      <c r="N93" s="135">
        <f>+N12+N18</f>
        <v>6191401.4608125053</v>
      </c>
      <c r="O93" s="134">
        <f t="shared" si="173"/>
        <v>26720107000</v>
      </c>
      <c r="P93" s="122"/>
      <c r="Q93" s="123"/>
      <c r="R93" s="135">
        <f>+R12+R18</f>
        <v>4904377.3802416585</v>
      </c>
      <c r="S93" s="134">
        <f t="shared" si="174"/>
        <v>21165723000</v>
      </c>
      <c r="T93" s="122"/>
      <c r="U93" s="123"/>
      <c r="V93" s="135">
        <f>+V12+V18</f>
        <v>4890710.9528541593</v>
      </c>
      <c r="W93" s="134">
        <f t="shared" si="175"/>
        <v>21106743000</v>
      </c>
      <c r="X93" s="122"/>
      <c r="Y93" s="123"/>
      <c r="Z93" s="135">
        <f>+Z12+Z18</f>
        <v>4913488.3318333253</v>
      </c>
      <c r="AA93" s="134">
        <f t="shared" si="176"/>
        <v>21205043000</v>
      </c>
      <c r="AB93" s="122"/>
      <c r="AC93" s="123"/>
      <c r="AD93" s="135">
        <f>+AD12+AD18</f>
        <v>4918043.8076291578</v>
      </c>
      <c r="AE93" s="134">
        <f t="shared" si="177"/>
        <v>21224703000</v>
      </c>
      <c r="AF93" s="122"/>
      <c r="AG93" s="123"/>
      <c r="AH93" s="135">
        <f>+AH12+AH18</f>
        <v>4949932.1381999897</v>
      </c>
      <c r="AI93" s="134">
        <f t="shared" si="178"/>
        <v>21362323000</v>
      </c>
      <c r="AJ93" s="122"/>
      <c r="AK93" s="123"/>
      <c r="AL93" s="135">
        <f>+AL12+AL18</f>
        <v>4963598.5655874889</v>
      </c>
      <c r="AM93" s="134">
        <f t="shared" si="179"/>
        <v>21421303000</v>
      </c>
    </row>
    <row r="94" spans="1:39" x14ac:dyDescent="0.25">
      <c r="A94" s="117">
        <v>3</v>
      </c>
      <c r="B94" s="121" t="s">
        <v>238</v>
      </c>
      <c r="C94" s="122"/>
      <c r="D94" s="122"/>
      <c r="E94" s="123"/>
      <c r="F94" s="135">
        <f>+F24+F29+F34</f>
        <v>8823568.5209369306</v>
      </c>
      <c r="G94" s="134">
        <f t="shared" si="171"/>
        <v>38079698000</v>
      </c>
      <c r="H94" s="122"/>
      <c r="I94" s="123"/>
      <c r="J94" s="135">
        <f>+J24+J29+J34</f>
        <v>8119080.1578784855</v>
      </c>
      <c r="K94" s="134">
        <f t="shared" si="172"/>
        <v>35039352000</v>
      </c>
      <c r="L94" s="122"/>
      <c r="M94" s="123"/>
      <c r="N94" s="135">
        <f>+N24+N29+N34</f>
        <v>8743998.4941573739</v>
      </c>
      <c r="O94" s="134">
        <f t="shared" si="173"/>
        <v>37736299000</v>
      </c>
      <c r="P94" s="122"/>
      <c r="Q94" s="123"/>
      <c r="R94" s="135">
        <f>+R24+R29+R34</f>
        <v>4616274.452796312</v>
      </c>
      <c r="S94" s="134">
        <f t="shared" si="174"/>
        <v>19922363000</v>
      </c>
      <c r="T94" s="122"/>
      <c r="U94" s="123"/>
      <c r="V94" s="135">
        <f>+V24+V29+V34</f>
        <v>4290187.9629930109</v>
      </c>
      <c r="W94" s="134">
        <f t="shared" si="175"/>
        <v>18515078000</v>
      </c>
      <c r="X94" s="122"/>
      <c r="Y94" s="123"/>
      <c r="Z94" s="135">
        <f>+Z24+Z29+Z34</f>
        <v>4886398.5681691011</v>
      </c>
      <c r="AA94" s="134">
        <f t="shared" si="176"/>
        <v>21088133000</v>
      </c>
      <c r="AB94" s="122"/>
      <c r="AC94" s="123"/>
      <c r="AD94" s="135">
        <f>+AD24+AD29+AD34</f>
        <v>5476634.5353257265</v>
      </c>
      <c r="AE94" s="134">
        <f t="shared" si="177"/>
        <v>23635402000</v>
      </c>
      <c r="AF94" s="122"/>
      <c r="AG94" s="123"/>
      <c r="AH94" s="135">
        <f>+AH24+AH29+AH34</f>
        <v>6318114.1985427309</v>
      </c>
      <c r="AI94" s="134">
        <f t="shared" si="178"/>
        <v>27266959000</v>
      </c>
      <c r="AJ94" s="122"/>
      <c r="AK94" s="123"/>
      <c r="AL94" s="135">
        <f>+AL24+AL29+AL34</f>
        <v>6884654.4569829535</v>
      </c>
      <c r="AM94" s="134">
        <f t="shared" si="179"/>
        <v>29711966000</v>
      </c>
    </row>
    <row r="95" spans="1:39" x14ac:dyDescent="0.25">
      <c r="A95" s="70">
        <v>4</v>
      </c>
      <c r="B95" s="121" t="s">
        <v>226</v>
      </c>
      <c r="C95" s="122"/>
      <c r="D95" s="122"/>
      <c r="E95" s="123"/>
      <c r="F95" s="135">
        <f>+F39+F42</f>
        <v>1434710</v>
      </c>
      <c r="G95" s="134">
        <f t="shared" si="171"/>
        <v>6191749000</v>
      </c>
      <c r="H95" s="122"/>
      <c r="I95" s="123"/>
      <c r="J95" s="135">
        <f>+J39+J42</f>
        <v>1385950</v>
      </c>
      <c r="K95" s="134">
        <f t="shared" si="172"/>
        <v>5981317000</v>
      </c>
      <c r="L95" s="122"/>
      <c r="M95" s="123"/>
      <c r="N95" s="135">
        <f>+N39+N42</f>
        <v>1471280</v>
      </c>
      <c r="O95" s="134">
        <f t="shared" si="173"/>
        <v>6349574000</v>
      </c>
      <c r="P95" s="122"/>
      <c r="Q95" s="123"/>
      <c r="R95" s="135">
        <f>+R39+R42</f>
        <v>964070</v>
      </c>
      <c r="S95" s="134">
        <f t="shared" si="174"/>
        <v>4160618000</v>
      </c>
      <c r="T95" s="122"/>
      <c r="U95" s="123"/>
      <c r="V95" s="135">
        <f>+V39+V42</f>
        <v>903120</v>
      </c>
      <c r="W95" s="134">
        <f t="shared" si="175"/>
        <v>3897577000</v>
      </c>
      <c r="X95" s="122"/>
      <c r="Y95" s="123"/>
      <c r="Z95" s="135">
        <f>+Z39+Z42</f>
        <v>1000640</v>
      </c>
      <c r="AA95" s="134">
        <f t="shared" si="176"/>
        <v>4318442000</v>
      </c>
      <c r="AB95" s="122"/>
      <c r="AC95" s="123"/>
      <c r="AD95" s="135">
        <f>+AD39+AD42</f>
        <v>1146920</v>
      </c>
      <c r="AE95" s="134">
        <f t="shared" si="177"/>
        <v>4949740000</v>
      </c>
      <c r="AF95" s="122"/>
      <c r="AG95" s="123"/>
      <c r="AH95" s="135">
        <f>+AH39+AH42</f>
        <v>1317580</v>
      </c>
      <c r="AI95" s="134">
        <f t="shared" si="178"/>
        <v>5686254000</v>
      </c>
      <c r="AJ95" s="122"/>
      <c r="AK95" s="123"/>
      <c r="AL95" s="135">
        <f>+AL39+AL42</f>
        <v>1378530</v>
      </c>
      <c r="AM95" s="134">
        <f t="shared" si="179"/>
        <v>5949294000</v>
      </c>
    </row>
    <row r="96" spans="1:39" x14ac:dyDescent="0.25">
      <c r="A96" s="117">
        <v>5</v>
      </c>
      <c r="B96" s="121" t="s">
        <v>227</v>
      </c>
      <c r="C96" s="122"/>
      <c r="D96" s="122"/>
      <c r="E96" s="123"/>
      <c r="F96" s="135">
        <f>+F44</f>
        <v>1294038.0403823236</v>
      </c>
      <c r="G96" s="134">
        <f t="shared" si="171"/>
        <v>5584654000</v>
      </c>
      <c r="H96" s="122"/>
      <c r="I96" s="123"/>
      <c r="J96" s="135">
        <f>+J44</f>
        <v>1290574.1821096586</v>
      </c>
      <c r="K96" s="134">
        <f t="shared" si="172"/>
        <v>5569705000</v>
      </c>
      <c r="L96" s="122"/>
      <c r="M96" s="123"/>
      <c r="N96" s="135">
        <f>+N44</f>
        <v>1296347.2792307672</v>
      </c>
      <c r="O96" s="134">
        <f t="shared" si="173"/>
        <v>5594620000</v>
      </c>
      <c r="P96" s="122"/>
      <c r="Q96" s="123"/>
      <c r="R96" s="135">
        <f>+R44</f>
        <v>1078287.984308382</v>
      </c>
      <c r="S96" s="134">
        <f t="shared" si="174"/>
        <v>4653546000</v>
      </c>
      <c r="T96" s="122"/>
      <c r="U96" s="123"/>
      <c r="V96" s="135">
        <f>+V44</f>
        <v>1075170.5118629835</v>
      </c>
      <c r="W96" s="134">
        <f t="shared" si="175"/>
        <v>4640092000</v>
      </c>
      <c r="X96" s="122"/>
      <c r="Y96" s="123"/>
      <c r="Z96" s="135">
        <f>+Z44</f>
        <v>1080366.299271981</v>
      </c>
      <c r="AA96" s="134">
        <f t="shared" si="176"/>
        <v>4662515000</v>
      </c>
      <c r="AB96" s="122"/>
      <c r="AC96" s="123"/>
      <c r="AD96" s="135">
        <f>+AD44</f>
        <v>1081405.4567537806</v>
      </c>
      <c r="AE96" s="134">
        <f t="shared" si="177"/>
        <v>4667000000</v>
      </c>
      <c r="AF96" s="122"/>
      <c r="AG96" s="123"/>
      <c r="AH96" s="135">
        <f>+AH44</f>
        <v>1088679.5591263773</v>
      </c>
      <c r="AI96" s="134">
        <f t="shared" si="178"/>
        <v>4698393000</v>
      </c>
      <c r="AJ96" s="122"/>
      <c r="AK96" s="123"/>
      <c r="AL96" s="135">
        <f>+AL44</f>
        <v>1091797.0315717759</v>
      </c>
      <c r="AM96" s="134">
        <f t="shared" si="179"/>
        <v>4711847000</v>
      </c>
    </row>
    <row r="97" spans="1:39" x14ac:dyDescent="0.25">
      <c r="A97" s="70">
        <v>6</v>
      </c>
      <c r="B97" s="121" t="s">
        <v>228</v>
      </c>
      <c r="C97" s="122"/>
      <c r="D97" s="122"/>
      <c r="E97" s="123"/>
      <c r="F97" s="135">
        <f>+F53</f>
        <v>1197641</v>
      </c>
      <c r="G97" s="134">
        <f t="shared" si="171"/>
        <v>5168635000</v>
      </c>
      <c r="H97" s="122"/>
      <c r="I97" s="123"/>
      <c r="J97" s="135">
        <f>+J53</f>
        <v>1128847</v>
      </c>
      <c r="K97" s="134">
        <f t="shared" si="172"/>
        <v>4871742000</v>
      </c>
      <c r="L97" s="122"/>
      <c r="M97" s="123"/>
      <c r="N97" s="135">
        <f>+N53</f>
        <v>1163244</v>
      </c>
      <c r="O97" s="134">
        <f t="shared" si="173"/>
        <v>5020189000</v>
      </c>
      <c r="P97" s="122"/>
      <c r="Q97" s="123"/>
      <c r="R97" s="135">
        <f>+R53</f>
        <v>844290</v>
      </c>
      <c r="S97" s="134">
        <f t="shared" si="174"/>
        <v>3643685000</v>
      </c>
      <c r="T97" s="122"/>
      <c r="U97" s="123"/>
      <c r="V97" s="135">
        <f>+V53</f>
        <v>816147</v>
      </c>
      <c r="W97" s="134">
        <f t="shared" si="175"/>
        <v>3522229000</v>
      </c>
      <c r="X97" s="122"/>
      <c r="Y97" s="123"/>
      <c r="Z97" s="135">
        <f>+Z53</f>
        <v>872433</v>
      </c>
      <c r="AA97" s="134">
        <f t="shared" si="176"/>
        <v>3765142000</v>
      </c>
      <c r="AB97" s="122"/>
      <c r="AC97" s="123"/>
      <c r="AD97" s="135">
        <f>+AD53</f>
        <v>928719</v>
      </c>
      <c r="AE97" s="134">
        <f t="shared" si="177"/>
        <v>4008054000</v>
      </c>
      <c r="AF97" s="122"/>
      <c r="AG97" s="123"/>
      <c r="AH97" s="135">
        <f>+AH53</f>
        <v>985005</v>
      </c>
      <c r="AI97" s="134">
        <f t="shared" si="178"/>
        <v>4250966000</v>
      </c>
      <c r="AJ97" s="122"/>
      <c r="AK97" s="123"/>
      <c r="AL97" s="135">
        <f>+AL53</f>
        <v>1041291</v>
      </c>
      <c r="AM97" s="134">
        <f t="shared" si="179"/>
        <v>4493879000</v>
      </c>
    </row>
    <row r="98" spans="1:39" x14ac:dyDescent="0.25">
      <c r="A98" s="124"/>
      <c r="B98" s="128" t="s">
        <v>134</v>
      </c>
      <c r="C98" s="129"/>
      <c r="D98" s="129"/>
      <c r="E98" s="130"/>
      <c r="F98" s="136">
        <f>+SUM(F92:F97)</f>
        <v>20377395.015321892</v>
      </c>
      <c r="G98" s="136">
        <f>+SUM(G92:G97)</f>
        <v>87942315000</v>
      </c>
      <c r="H98" s="129"/>
      <c r="I98" s="130"/>
      <c r="J98" s="136">
        <f>+SUM(J92:J97)</f>
        <v>19535904.668391369</v>
      </c>
      <c r="K98" s="136">
        <f>+SUM(K92:K97)</f>
        <v>84310713000</v>
      </c>
      <c r="L98" s="129"/>
      <c r="M98" s="130"/>
      <c r="N98" s="136">
        <f>+SUM(N92:N97)</f>
        <v>20312963.311123721</v>
      </c>
      <c r="O98" s="136">
        <f>+SUM(O92:O97)</f>
        <v>87664249000</v>
      </c>
      <c r="P98" s="129"/>
      <c r="Q98" s="130"/>
      <c r="R98" s="136">
        <f>+SUM(R92:R97)</f>
        <v>13722474.432730969</v>
      </c>
      <c r="S98" s="136">
        <f>+SUM(S92:S97)</f>
        <v>59221808000</v>
      </c>
      <c r="T98" s="129"/>
      <c r="U98" s="130"/>
      <c r="V98" s="136">
        <f>+SUM(V92:V97)</f>
        <v>13290511.043094769</v>
      </c>
      <c r="W98" s="136">
        <f>+SUM(W92:W97)</f>
        <v>57357592000</v>
      </c>
      <c r="X98" s="129"/>
      <c r="Y98" s="130"/>
      <c r="Z98" s="136">
        <f>+SUM(Z92:Z97)</f>
        <v>14068500.814659024</v>
      </c>
      <c r="AA98" s="136">
        <f>+SUM(AA92:AA97)</f>
        <v>60715148000</v>
      </c>
      <c r="AB98" s="129"/>
      <c r="AC98" s="130"/>
      <c r="AD98" s="136">
        <f>+SUM(AD92:AD97)</f>
        <v>14866897.41509328</v>
      </c>
      <c r="AE98" s="136">
        <f>+SUM(AE92:AE97)</f>
        <v>64160772000</v>
      </c>
      <c r="AF98" s="136">
        <v>0</v>
      </c>
      <c r="AG98" s="136">
        <v>0</v>
      </c>
      <c r="AH98" s="136">
        <f>+SUM(AH92:AH97)</f>
        <v>15974485.511253713</v>
      </c>
      <c r="AI98" s="136">
        <f>+SUM(AI92:AI97)</f>
        <v>68940768000</v>
      </c>
      <c r="AJ98" s="136"/>
      <c r="AK98" s="136"/>
      <c r="AL98" s="136">
        <f>+SUM(AL92:AL97)</f>
        <v>16675045.669526834</v>
      </c>
      <c r="AM98" s="136">
        <f>+SUM(AM92:AM97)</f>
        <v>71964162000</v>
      </c>
    </row>
    <row r="101" spans="1:39" s="183" customFormat="1" ht="25.5" x14ac:dyDescent="0.25">
      <c r="A101" s="192"/>
      <c r="B101" s="193" t="s">
        <v>241</v>
      </c>
      <c r="C101" s="194"/>
      <c r="D101" s="194"/>
      <c r="E101" s="195"/>
      <c r="F101" s="196" t="s">
        <v>129</v>
      </c>
      <c r="G101" s="196" t="s">
        <v>131</v>
      </c>
      <c r="H101" s="194"/>
      <c r="I101" s="195"/>
      <c r="J101" s="196" t="s">
        <v>129</v>
      </c>
      <c r="K101" s="196" t="s">
        <v>131</v>
      </c>
      <c r="L101" s="194"/>
      <c r="M101" s="195"/>
      <c r="N101" s="196" t="s">
        <v>129</v>
      </c>
      <c r="O101" s="196" t="s">
        <v>131</v>
      </c>
      <c r="P101" s="194"/>
      <c r="Q101" s="195"/>
      <c r="R101" s="196" t="s">
        <v>129</v>
      </c>
      <c r="S101" s="196" t="s">
        <v>131</v>
      </c>
      <c r="T101" s="194"/>
      <c r="U101" s="195"/>
      <c r="V101" s="196" t="s">
        <v>129</v>
      </c>
      <c r="W101" s="196" t="s">
        <v>131</v>
      </c>
      <c r="X101" s="194"/>
      <c r="Y101" s="195"/>
      <c r="Z101" s="196" t="s">
        <v>129</v>
      </c>
      <c r="AA101" s="196" t="s">
        <v>131</v>
      </c>
      <c r="AB101" s="194"/>
      <c r="AC101" s="195"/>
      <c r="AD101" s="196" t="s">
        <v>129</v>
      </c>
      <c r="AE101" s="196" t="s">
        <v>131</v>
      </c>
      <c r="AF101" s="194"/>
      <c r="AG101" s="195"/>
      <c r="AH101" s="196" t="s">
        <v>129</v>
      </c>
      <c r="AI101" s="196" t="s">
        <v>131</v>
      </c>
      <c r="AJ101" s="194"/>
      <c r="AK101" s="195"/>
      <c r="AL101" s="196" t="s">
        <v>129</v>
      </c>
      <c r="AM101" s="196" t="s">
        <v>131</v>
      </c>
    </row>
    <row r="102" spans="1:39" x14ac:dyDescent="0.25">
      <c r="A102" s="117">
        <v>1</v>
      </c>
      <c r="B102" s="121" t="s">
        <v>224</v>
      </c>
      <c r="C102" s="122"/>
      <c r="D102" s="122"/>
      <c r="E102" s="123"/>
      <c r="F102" s="134">
        <f>0.7*F5</f>
        <v>1012684.4538461538</v>
      </c>
      <c r="G102" s="134">
        <f t="shared" ref="G102:G110" si="180">ROUND(+$C$1*F102,-3)</f>
        <v>4370422000</v>
      </c>
      <c r="H102" s="122"/>
      <c r="I102" s="123"/>
      <c r="J102" s="134">
        <f>0.7*J5</f>
        <v>1012684.4538461538</v>
      </c>
      <c r="K102" s="134">
        <f t="shared" ref="K102:K110" si="181">ROUND(+$C$1*J102,-3)</f>
        <v>4370422000</v>
      </c>
      <c r="L102" s="122"/>
      <c r="M102" s="123"/>
      <c r="N102" s="134">
        <f>0.7*N5</f>
        <v>1012684.4538461538</v>
      </c>
      <c r="O102" s="134">
        <f t="shared" ref="O102:O110" si="182">ROUND(+$C$1*N102,-3)</f>
        <v>4370422000</v>
      </c>
      <c r="P102" s="122"/>
      <c r="Q102" s="123"/>
      <c r="R102" s="134">
        <f>0.7*R5</f>
        <v>920622.23076923075</v>
      </c>
      <c r="S102" s="134">
        <f t="shared" ref="S102:S110" si="183">ROUND(+$C$1*R102,-3)</f>
        <v>3973111000</v>
      </c>
      <c r="T102" s="122"/>
      <c r="U102" s="123"/>
      <c r="V102" s="134">
        <f>0.7*V5</f>
        <v>920622.23076923075</v>
      </c>
      <c r="W102" s="134">
        <f t="shared" ref="W102:W110" si="184">ROUND(+$C$1*V102,-3)</f>
        <v>3973111000</v>
      </c>
      <c r="X102" s="122"/>
      <c r="Y102" s="123"/>
      <c r="Z102" s="134">
        <f>0.7*Z5</f>
        <v>920622.23076923075</v>
      </c>
      <c r="AA102" s="134">
        <f t="shared" ref="AA102:AA110" si="185">ROUND(+$C$1*Z102,-3)</f>
        <v>3973111000</v>
      </c>
      <c r="AB102" s="122"/>
      <c r="AC102" s="123"/>
      <c r="AD102" s="134">
        <f>0.7*AD5</f>
        <v>920622.23076923075</v>
      </c>
      <c r="AE102" s="134">
        <f t="shared" ref="AE102:AE110" si="186">ROUND(+$C$1*AD102,-3)</f>
        <v>3973111000</v>
      </c>
      <c r="AF102" s="122"/>
      <c r="AG102" s="123"/>
      <c r="AH102" s="134">
        <f>0.7*AH5</f>
        <v>920622.23076923075</v>
      </c>
      <c r="AI102" s="134">
        <f t="shared" ref="AI102:AI110" si="187">ROUND(+$C$1*AH102,-3)</f>
        <v>3973111000</v>
      </c>
      <c r="AJ102" s="122"/>
      <c r="AK102" s="123"/>
      <c r="AL102" s="134">
        <f>0.7*AL5</f>
        <v>920622.23076923075</v>
      </c>
      <c r="AM102" s="134">
        <f t="shared" ref="AM102:AM110" si="188">ROUND(+$C$1*AL102,-3)</f>
        <v>3973111000</v>
      </c>
    </row>
    <row r="103" spans="1:39" x14ac:dyDescent="0.25">
      <c r="A103" s="70">
        <v>2</v>
      </c>
      <c r="B103" s="121" t="s">
        <v>234</v>
      </c>
      <c r="C103" s="122"/>
      <c r="D103" s="122"/>
      <c r="E103" s="123"/>
      <c r="F103" s="135">
        <f>0.7*(F13+F19+F20*0.7+F21+F22)</f>
        <v>2456895.839678932</v>
      </c>
      <c r="G103" s="134">
        <f t="shared" si="180"/>
        <v>10603176000</v>
      </c>
      <c r="H103" s="122"/>
      <c r="I103" s="123"/>
      <c r="J103" s="135">
        <f>0.7*(J13+J19+J20*0.7+J21+J22)</f>
        <v>2456895.839678932</v>
      </c>
      <c r="K103" s="134">
        <f t="shared" si="181"/>
        <v>10603176000</v>
      </c>
      <c r="L103" s="122"/>
      <c r="M103" s="123"/>
      <c r="N103" s="135">
        <f>0.7*(N13+N19+N20*0.7+N21+N22)</f>
        <v>2456895.839678932</v>
      </c>
      <c r="O103" s="134">
        <f t="shared" si="182"/>
        <v>10603176000</v>
      </c>
      <c r="P103" s="122"/>
      <c r="Q103" s="123"/>
      <c r="R103" s="135">
        <f>0.7*(R13+R19+R20*0.7+R21+R22)</f>
        <v>2299461.0099999998</v>
      </c>
      <c r="S103" s="134">
        <f t="shared" si="183"/>
        <v>9923738000</v>
      </c>
      <c r="T103" s="122"/>
      <c r="U103" s="123"/>
      <c r="V103" s="135">
        <f>0.7*(V13+V19+V20*0.7+V21+V22)</f>
        <v>2299461.0099999998</v>
      </c>
      <c r="W103" s="134">
        <f t="shared" si="184"/>
        <v>9923738000</v>
      </c>
      <c r="X103" s="122"/>
      <c r="Y103" s="123"/>
      <c r="Z103" s="135">
        <f>0.7*(Z13+Z19+Z20*0.7+Z21+Z22)</f>
        <v>2299461.0099999998</v>
      </c>
      <c r="AA103" s="134">
        <f t="shared" si="185"/>
        <v>9923738000</v>
      </c>
      <c r="AB103" s="122"/>
      <c r="AC103" s="123"/>
      <c r="AD103" s="135">
        <f>0.7*(AD13+AD19+AD20*0.7+AD21+AD22)</f>
        <v>2299461.0099999998</v>
      </c>
      <c r="AE103" s="134">
        <f t="shared" si="186"/>
        <v>9923738000</v>
      </c>
      <c r="AF103" s="122"/>
      <c r="AG103" s="123"/>
      <c r="AH103" s="135">
        <f>0.7*(AH13+AH19+AH20*0.7+AH21+AH22)</f>
        <v>2299461.0099999998</v>
      </c>
      <c r="AI103" s="134">
        <f t="shared" si="187"/>
        <v>9923738000</v>
      </c>
      <c r="AJ103" s="122"/>
      <c r="AK103" s="123"/>
      <c r="AL103" s="135">
        <f>0.7*(AL13+AL19+AL20*0.7+AL21+AL22)</f>
        <v>2299461.0099999998</v>
      </c>
      <c r="AM103" s="134">
        <f t="shared" si="188"/>
        <v>9923738000</v>
      </c>
    </row>
    <row r="104" spans="1:39" x14ac:dyDescent="0.25">
      <c r="A104" s="117">
        <v>3</v>
      </c>
      <c r="B104" s="121" t="s">
        <v>235</v>
      </c>
      <c r="C104" s="122"/>
      <c r="D104" s="122"/>
      <c r="E104" s="123"/>
      <c r="F104" s="135">
        <f>0.7*(F14+F20*0.3+F23)</f>
        <v>1567525.9504478294</v>
      </c>
      <c r="G104" s="134">
        <f t="shared" si="180"/>
        <v>6764940000</v>
      </c>
      <c r="H104" s="122"/>
      <c r="I104" s="123"/>
      <c r="J104" s="135">
        <f>0.7*(J14+J20*0.3+J23)</f>
        <v>1567525.9504478294</v>
      </c>
      <c r="K104" s="134">
        <f t="shared" si="181"/>
        <v>6764940000</v>
      </c>
      <c r="L104" s="122"/>
      <c r="M104" s="123"/>
      <c r="N104" s="135">
        <f>0.7*(N14+N20*0.3+N23)</f>
        <v>1567525.9504478294</v>
      </c>
      <c r="O104" s="134">
        <f t="shared" si="182"/>
        <v>6764940000</v>
      </c>
      <c r="P104" s="122"/>
      <c r="Q104" s="123"/>
      <c r="R104" s="135">
        <f>0.7*(R14+R20*0.3+R23)</f>
        <v>1012427.5000000001</v>
      </c>
      <c r="S104" s="134">
        <f t="shared" si="183"/>
        <v>4369313000</v>
      </c>
      <c r="T104" s="122"/>
      <c r="U104" s="123"/>
      <c r="V104" s="135">
        <f>0.7*(V14+V20*0.3+V23)</f>
        <v>1012427.5000000001</v>
      </c>
      <c r="W104" s="134">
        <f t="shared" si="184"/>
        <v>4369313000</v>
      </c>
      <c r="X104" s="122"/>
      <c r="Y104" s="123"/>
      <c r="Z104" s="135">
        <f>0.7*(Z14+Z20*0.3+Z23)</f>
        <v>1012427.5000000001</v>
      </c>
      <c r="AA104" s="134">
        <f t="shared" si="185"/>
        <v>4369313000</v>
      </c>
      <c r="AB104" s="122"/>
      <c r="AC104" s="123"/>
      <c r="AD104" s="135">
        <f>0.7*(AD14+AD20*0.3+AD23)</f>
        <v>1012427.5000000001</v>
      </c>
      <c r="AE104" s="134">
        <f t="shared" si="186"/>
        <v>4369313000</v>
      </c>
      <c r="AF104" s="122"/>
      <c r="AG104" s="123"/>
      <c r="AH104" s="135">
        <f>0.7*(AH14+AH20*0.3+AH23)</f>
        <v>1012427.5000000001</v>
      </c>
      <c r="AI104" s="134">
        <f t="shared" si="187"/>
        <v>4369313000</v>
      </c>
      <c r="AJ104" s="122"/>
      <c r="AK104" s="123"/>
      <c r="AL104" s="135">
        <f>0.7*(AL14+AL20*0.3+AL23)</f>
        <v>1012427.5000000001</v>
      </c>
      <c r="AM104" s="134">
        <f t="shared" si="188"/>
        <v>4369313000</v>
      </c>
    </row>
    <row r="105" spans="1:39" x14ac:dyDescent="0.25">
      <c r="A105" s="70">
        <v>4</v>
      </c>
      <c r="B105" s="121" t="s">
        <v>236</v>
      </c>
      <c r="C105" s="122"/>
      <c r="D105" s="122"/>
      <c r="E105" s="123"/>
      <c r="F105" s="135">
        <f>0.7*F17</f>
        <v>302099.9738289325</v>
      </c>
      <c r="G105" s="134">
        <f t="shared" si="180"/>
        <v>1303767000</v>
      </c>
      <c r="H105" s="122"/>
      <c r="I105" s="123"/>
      <c r="J105" s="135">
        <f>0.7*J17</f>
        <v>290911.08590934239</v>
      </c>
      <c r="K105" s="134">
        <f t="shared" si="181"/>
        <v>1255479000</v>
      </c>
      <c r="L105" s="122"/>
      <c r="M105" s="123"/>
      <c r="N105" s="135">
        <f>0.7*N17</f>
        <v>309559.23244199256</v>
      </c>
      <c r="O105" s="134">
        <f t="shared" si="182"/>
        <v>1335959000</v>
      </c>
      <c r="P105" s="122"/>
      <c r="Q105" s="123"/>
      <c r="R105" s="135">
        <f>0.7*R17</f>
        <v>121175.65616916068</v>
      </c>
      <c r="S105" s="134">
        <f t="shared" si="183"/>
        <v>522955000</v>
      </c>
      <c r="T105" s="122"/>
      <c r="U105" s="123"/>
      <c r="V105" s="135">
        <f>0.7*V17</f>
        <v>111609.15699791115</v>
      </c>
      <c r="W105" s="134">
        <f t="shared" si="184"/>
        <v>481669000</v>
      </c>
      <c r="X105" s="122"/>
      <c r="Y105" s="123"/>
      <c r="Z105" s="135">
        <f>0.7*Z17</f>
        <v>127553.32228332704</v>
      </c>
      <c r="AA105" s="134">
        <f t="shared" si="185"/>
        <v>550479000</v>
      </c>
      <c r="AB105" s="122"/>
      <c r="AC105" s="123"/>
      <c r="AD105" s="135">
        <f>0.7*AD17</f>
        <v>130742.1553404102</v>
      </c>
      <c r="AE105" s="134">
        <f t="shared" si="186"/>
        <v>564241000</v>
      </c>
      <c r="AF105" s="122"/>
      <c r="AG105" s="123"/>
      <c r="AH105" s="135">
        <f>0.7*AH17</f>
        <v>153063.98673999243</v>
      </c>
      <c r="AI105" s="134">
        <f t="shared" si="187"/>
        <v>660575000</v>
      </c>
      <c r="AJ105" s="122"/>
      <c r="AK105" s="123"/>
      <c r="AL105" s="135">
        <f>0.7*AL17</f>
        <v>162630.48591124197</v>
      </c>
      <c r="AM105" s="134">
        <f t="shared" si="188"/>
        <v>701861000</v>
      </c>
    </row>
    <row r="106" spans="1:39" x14ac:dyDescent="0.25">
      <c r="A106" s="117">
        <v>5</v>
      </c>
      <c r="B106" s="121" t="s">
        <v>237</v>
      </c>
      <c r="C106" s="122"/>
      <c r="D106" s="122"/>
      <c r="E106" s="123"/>
      <c r="F106" s="135">
        <f>0.7*(+F24+F32+F33+F34)</f>
        <v>3353165.6952953488</v>
      </c>
      <c r="G106" s="134">
        <f t="shared" si="180"/>
        <v>14471190000</v>
      </c>
      <c r="H106" s="122"/>
      <c r="I106" s="123"/>
      <c r="J106" s="135">
        <f>0.7*(+J24+J32+J33+J34)</f>
        <v>2964591.7029826026</v>
      </c>
      <c r="K106" s="134">
        <f t="shared" si="181"/>
        <v>12794229000</v>
      </c>
      <c r="L106" s="122"/>
      <c r="M106" s="123"/>
      <c r="N106" s="135">
        <f>0.7*(+N24+N32+N33+N34)</f>
        <v>3227754.7686642134</v>
      </c>
      <c r="O106" s="134">
        <f t="shared" si="182"/>
        <v>13929957000</v>
      </c>
      <c r="P106" s="122"/>
      <c r="Q106" s="123"/>
      <c r="R106" s="135">
        <f>0.7*(+R24+R32+R33+R34)</f>
        <v>2005127.2357795211</v>
      </c>
      <c r="S106" s="134">
        <f t="shared" si="183"/>
        <v>8653488000</v>
      </c>
      <c r="T106" s="122"/>
      <c r="U106" s="123"/>
      <c r="V106" s="135">
        <f>0.7*(+V24+V32+V33+V34)</f>
        <v>1873677.0782733606</v>
      </c>
      <c r="W106" s="134">
        <f t="shared" si="184"/>
        <v>8086191000</v>
      </c>
      <c r="X106" s="122"/>
      <c r="Y106" s="123"/>
      <c r="Z106" s="135">
        <f>0.7*(+Z24+Z32+Z33+Z34)</f>
        <v>2129673.8596363738</v>
      </c>
      <c r="AA106" s="134">
        <f t="shared" si="185"/>
        <v>9190991000</v>
      </c>
      <c r="AB106" s="122"/>
      <c r="AC106" s="123"/>
      <c r="AD106" s="135">
        <f>0.7*(+AD24+AD32+AD33+AD34)</f>
        <v>2510568.9081939613</v>
      </c>
      <c r="AE106" s="134">
        <f t="shared" si="186"/>
        <v>10834812000</v>
      </c>
      <c r="AF106" s="122"/>
      <c r="AG106" s="123"/>
      <c r="AH106" s="135">
        <f>0.7*(+AH24+AH32+AH33+AH34)</f>
        <v>2873713.7732815156</v>
      </c>
      <c r="AI106" s="134">
        <f t="shared" si="187"/>
        <v>12402029000</v>
      </c>
      <c r="AJ106" s="122"/>
      <c r="AK106" s="123"/>
      <c r="AL106" s="135">
        <f>0.7*(+AL24+AL32+AL33+AL34)</f>
        <v>3173481.5688335211</v>
      </c>
      <c r="AM106" s="134">
        <f t="shared" si="188"/>
        <v>13695731000</v>
      </c>
    </row>
    <row r="107" spans="1:39" x14ac:dyDescent="0.25">
      <c r="A107" s="70">
        <v>6</v>
      </c>
      <c r="B107" s="121" t="s">
        <v>239</v>
      </c>
      <c r="C107" s="122"/>
      <c r="D107" s="122"/>
      <c r="E107" s="123"/>
      <c r="F107" s="135">
        <f>0.7*(F30+F31)</f>
        <v>2823332.2693605032</v>
      </c>
      <c r="G107" s="134">
        <f t="shared" si="180"/>
        <v>12184599000</v>
      </c>
      <c r="H107" s="122"/>
      <c r="I107" s="123"/>
      <c r="J107" s="135">
        <f>0.7*(J30+J31)</f>
        <v>2718764.4075323362</v>
      </c>
      <c r="K107" s="134">
        <f t="shared" si="181"/>
        <v>11733317000</v>
      </c>
      <c r="L107" s="122"/>
      <c r="M107" s="123"/>
      <c r="N107" s="135">
        <f>0.7*(N30+N31)</f>
        <v>2893044.177245948</v>
      </c>
      <c r="O107" s="134">
        <f t="shared" si="182"/>
        <v>12485453000</v>
      </c>
      <c r="P107" s="122"/>
      <c r="Q107" s="123"/>
      <c r="R107" s="135">
        <f>0.7*(R30+R31)</f>
        <v>1226264.8811778971</v>
      </c>
      <c r="S107" s="134">
        <f t="shared" si="183"/>
        <v>5292167000</v>
      </c>
      <c r="T107" s="122"/>
      <c r="U107" s="123"/>
      <c r="V107" s="135">
        <f>0.7*(V30+V31)</f>
        <v>1129454.4958217472</v>
      </c>
      <c r="W107" s="134">
        <f t="shared" si="184"/>
        <v>4874364000</v>
      </c>
      <c r="X107" s="122"/>
      <c r="Y107" s="123"/>
      <c r="Z107" s="135">
        <f>0.7*(Z30+Z31)</f>
        <v>1290805.1380819967</v>
      </c>
      <c r="AA107" s="134">
        <f t="shared" si="185"/>
        <v>5570702000</v>
      </c>
      <c r="AB107" s="122"/>
      <c r="AC107" s="123"/>
      <c r="AD107" s="135">
        <f>0.7*(AD30+AD31)</f>
        <v>1323075.2665340467</v>
      </c>
      <c r="AE107" s="134">
        <f t="shared" si="186"/>
        <v>5709969000</v>
      </c>
      <c r="AF107" s="122"/>
      <c r="AG107" s="123"/>
      <c r="AH107" s="135">
        <f>0.7*(AH30+AH31)</f>
        <v>1548966.1656983963</v>
      </c>
      <c r="AI107" s="134">
        <f t="shared" si="187"/>
        <v>6684842000</v>
      </c>
      <c r="AJ107" s="122"/>
      <c r="AK107" s="123"/>
      <c r="AL107" s="135">
        <f>0.7*(AL30+AL31)</f>
        <v>1645776.5510545461</v>
      </c>
      <c r="AM107" s="134">
        <f t="shared" si="188"/>
        <v>7102645000</v>
      </c>
    </row>
    <row r="108" spans="1:39" x14ac:dyDescent="0.25">
      <c r="A108" s="117">
        <v>7</v>
      </c>
      <c r="B108" s="121" t="s">
        <v>226</v>
      </c>
      <c r="C108" s="122"/>
      <c r="D108" s="122"/>
      <c r="E108" s="123"/>
      <c r="F108" s="135">
        <f>0.7*(+F39+F42)</f>
        <v>1004296.9999999999</v>
      </c>
      <c r="G108" s="134">
        <f t="shared" si="180"/>
        <v>4334224000</v>
      </c>
      <c r="H108" s="122"/>
      <c r="I108" s="123"/>
      <c r="J108" s="135">
        <f>0.7*(+J39+J42)</f>
        <v>970164.99999999988</v>
      </c>
      <c r="K108" s="134">
        <f t="shared" si="181"/>
        <v>4186922000</v>
      </c>
      <c r="L108" s="122"/>
      <c r="M108" s="123"/>
      <c r="N108" s="135">
        <f>0.7*(+N39+N42)</f>
        <v>1029895.9999999999</v>
      </c>
      <c r="O108" s="134">
        <f t="shared" si="182"/>
        <v>4444702000</v>
      </c>
      <c r="P108" s="122"/>
      <c r="Q108" s="123"/>
      <c r="R108" s="135">
        <f>0.7*(+R39+R42)</f>
        <v>674849</v>
      </c>
      <c r="S108" s="134">
        <f t="shared" si="183"/>
        <v>2912432000</v>
      </c>
      <c r="T108" s="122"/>
      <c r="U108" s="123"/>
      <c r="V108" s="135">
        <f>0.7*(+V39+V42)</f>
        <v>632184</v>
      </c>
      <c r="W108" s="134">
        <f t="shared" si="184"/>
        <v>2728304000</v>
      </c>
      <c r="X108" s="122"/>
      <c r="Y108" s="123"/>
      <c r="Z108" s="135">
        <f>0.7*(+Z39+Z42)</f>
        <v>700448</v>
      </c>
      <c r="AA108" s="134">
        <f t="shared" si="185"/>
        <v>3022909000</v>
      </c>
      <c r="AB108" s="122"/>
      <c r="AC108" s="123"/>
      <c r="AD108" s="135">
        <f>0.7*(+AD39+AD42)</f>
        <v>802844</v>
      </c>
      <c r="AE108" s="134">
        <f t="shared" si="186"/>
        <v>3464818000</v>
      </c>
      <c r="AF108" s="122"/>
      <c r="AG108" s="123"/>
      <c r="AH108" s="135">
        <f>0.7*(+AH39+AH42)</f>
        <v>922305.99999999988</v>
      </c>
      <c r="AI108" s="134">
        <f t="shared" si="187"/>
        <v>3980378000</v>
      </c>
      <c r="AJ108" s="122"/>
      <c r="AK108" s="123"/>
      <c r="AL108" s="135">
        <f>0.7*(+AL39+AL42)</f>
        <v>964970.99999999988</v>
      </c>
      <c r="AM108" s="134">
        <f t="shared" si="188"/>
        <v>4164506000</v>
      </c>
    </row>
    <row r="109" spans="1:39" x14ac:dyDescent="0.25">
      <c r="A109" s="70">
        <v>8</v>
      </c>
      <c r="B109" s="121" t="s">
        <v>227</v>
      </c>
      <c r="C109" s="122"/>
      <c r="D109" s="122"/>
      <c r="E109" s="123"/>
      <c r="F109" s="135">
        <f>0.7*F44</f>
        <v>905826.62826762639</v>
      </c>
      <c r="G109" s="134">
        <f t="shared" si="180"/>
        <v>3909258000</v>
      </c>
      <c r="H109" s="122"/>
      <c r="I109" s="123"/>
      <c r="J109" s="135">
        <f>0.7*J44</f>
        <v>903401.92747676093</v>
      </c>
      <c r="K109" s="134">
        <f t="shared" si="181"/>
        <v>3898794000</v>
      </c>
      <c r="L109" s="122"/>
      <c r="M109" s="123"/>
      <c r="N109" s="135">
        <f>0.7*N44</f>
        <v>907443.09546153701</v>
      </c>
      <c r="O109" s="134">
        <f t="shared" si="182"/>
        <v>3916234000</v>
      </c>
      <c r="P109" s="122"/>
      <c r="Q109" s="123"/>
      <c r="R109" s="135">
        <f>0.7*R44</f>
        <v>754801.58901586733</v>
      </c>
      <c r="S109" s="134">
        <f t="shared" si="183"/>
        <v>3257482000</v>
      </c>
      <c r="T109" s="122"/>
      <c r="U109" s="123"/>
      <c r="V109" s="135">
        <f>0.7*V44</f>
        <v>752619.35830408835</v>
      </c>
      <c r="W109" s="134">
        <f t="shared" si="184"/>
        <v>3248064000</v>
      </c>
      <c r="X109" s="122"/>
      <c r="Y109" s="123"/>
      <c r="Z109" s="135">
        <f>0.7*Z44</f>
        <v>756256.40949038661</v>
      </c>
      <c r="AA109" s="134">
        <f t="shared" si="185"/>
        <v>3263761000</v>
      </c>
      <c r="AB109" s="122"/>
      <c r="AC109" s="123"/>
      <c r="AD109" s="135">
        <f>0.7*AD44</f>
        <v>756983.81972764642</v>
      </c>
      <c r="AE109" s="134">
        <f t="shared" si="186"/>
        <v>3266900000</v>
      </c>
      <c r="AF109" s="122"/>
      <c r="AG109" s="123"/>
      <c r="AH109" s="135">
        <f>0.7*AH44</f>
        <v>762075.69138846407</v>
      </c>
      <c r="AI109" s="134">
        <f t="shared" si="187"/>
        <v>3288875000</v>
      </c>
      <c r="AJ109" s="122"/>
      <c r="AK109" s="123"/>
      <c r="AL109" s="135">
        <f>0.7*AL44</f>
        <v>764257.92210024304</v>
      </c>
      <c r="AM109" s="134">
        <f t="shared" si="188"/>
        <v>3298293000</v>
      </c>
    </row>
    <row r="110" spans="1:39" x14ac:dyDescent="0.25">
      <c r="A110" s="117">
        <v>9</v>
      </c>
      <c r="B110" s="121" t="s">
        <v>228</v>
      </c>
      <c r="C110" s="122"/>
      <c r="D110" s="122"/>
      <c r="E110" s="123"/>
      <c r="F110" s="135">
        <f>0.7*F53</f>
        <v>838348.7</v>
      </c>
      <c r="G110" s="134">
        <f t="shared" si="180"/>
        <v>3618045000</v>
      </c>
      <c r="H110" s="122"/>
      <c r="I110" s="123"/>
      <c r="J110" s="135">
        <f>0.7*J53</f>
        <v>790192.89999999991</v>
      </c>
      <c r="K110" s="134">
        <f t="shared" si="181"/>
        <v>3410220000</v>
      </c>
      <c r="L110" s="122"/>
      <c r="M110" s="123"/>
      <c r="N110" s="135">
        <f>0.7*N53</f>
        <v>814270.79999999993</v>
      </c>
      <c r="O110" s="134">
        <f t="shared" si="182"/>
        <v>3514132000</v>
      </c>
      <c r="P110" s="122"/>
      <c r="Q110" s="123"/>
      <c r="R110" s="135">
        <f>0.7*R53</f>
        <v>591003</v>
      </c>
      <c r="S110" s="134">
        <f t="shared" si="183"/>
        <v>2550580000</v>
      </c>
      <c r="T110" s="122"/>
      <c r="U110" s="123"/>
      <c r="V110" s="135">
        <f>0.7*V53</f>
        <v>571302.89999999991</v>
      </c>
      <c r="W110" s="134">
        <f t="shared" si="184"/>
        <v>2465560000</v>
      </c>
      <c r="X110" s="122"/>
      <c r="Y110" s="123"/>
      <c r="Z110" s="135">
        <f>0.7*Z53</f>
        <v>610703.1</v>
      </c>
      <c r="AA110" s="134">
        <f t="shared" si="185"/>
        <v>2635599000</v>
      </c>
      <c r="AB110" s="122"/>
      <c r="AC110" s="123"/>
      <c r="AD110" s="135">
        <f>0.7*AD53</f>
        <v>650103.29999999993</v>
      </c>
      <c r="AE110" s="134">
        <f t="shared" si="186"/>
        <v>2805638000</v>
      </c>
      <c r="AF110" s="122"/>
      <c r="AG110" s="123"/>
      <c r="AH110" s="135">
        <f>0.7*AH53</f>
        <v>689503.5</v>
      </c>
      <c r="AI110" s="134">
        <f t="shared" si="187"/>
        <v>2975676000</v>
      </c>
      <c r="AJ110" s="122"/>
      <c r="AK110" s="123"/>
      <c r="AL110" s="135">
        <f>0.7*AL53</f>
        <v>728903.7</v>
      </c>
      <c r="AM110" s="134">
        <f t="shared" si="188"/>
        <v>3145715000</v>
      </c>
    </row>
    <row r="111" spans="1:39" x14ac:dyDescent="0.25">
      <c r="A111" s="124"/>
      <c r="B111" s="128" t="s">
        <v>233</v>
      </c>
      <c r="C111" s="129"/>
      <c r="D111" s="129"/>
      <c r="E111" s="130"/>
      <c r="F111" s="136">
        <f>+SUM(F102:F110)</f>
        <v>14264176.510725325</v>
      </c>
      <c r="G111" s="136">
        <f>+SUM(G102:G110)</f>
        <v>61559621000</v>
      </c>
      <c r="H111" s="129"/>
      <c r="I111" s="130"/>
      <c r="J111" s="136">
        <f>+SUM(J102:J110)</f>
        <v>13675133.267873956</v>
      </c>
      <c r="K111" s="136">
        <f>+SUM(K102:K110)</f>
        <v>59017499000</v>
      </c>
      <c r="L111" s="129"/>
      <c r="M111" s="130"/>
      <c r="N111" s="136">
        <f>+SUM(N102:N110)</f>
        <v>14219074.317786606</v>
      </c>
      <c r="O111" s="136">
        <f>+SUM(O102:O110)</f>
        <v>61364975000</v>
      </c>
      <c r="P111" s="129"/>
      <c r="Q111" s="130"/>
      <c r="R111" s="136">
        <f>+SUM(R102:R110)</f>
        <v>9605732.1029116772</v>
      </c>
      <c r="S111" s="136">
        <f>+SUM(S102:S110)</f>
        <v>41455266000</v>
      </c>
      <c r="T111" s="129"/>
      <c r="U111" s="130"/>
      <c r="V111" s="136">
        <f>+SUM(V102:V110)</f>
        <v>9303357.7301663384</v>
      </c>
      <c r="W111" s="136">
        <f>+SUM(W102:W110)</f>
        <v>40150314000</v>
      </c>
      <c r="X111" s="129"/>
      <c r="Y111" s="130"/>
      <c r="Z111" s="136">
        <f>+SUM(Z102:Z110)</f>
        <v>9847950.5702613145</v>
      </c>
      <c r="AA111" s="136">
        <f>+SUM(AA102:AA110)</f>
        <v>42500603000</v>
      </c>
      <c r="AB111" s="129"/>
      <c r="AC111" s="130"/>
      <c r="AD111" s="136">
        <f>+SUM(AD102:AD110)</f>
        <v>10406828.190565296</v>
      </c>
      <c r="AE111" s="136">
        <f>+SUM(AE102:AE110)</f>
        <v>44912540000</v>
      </c>
      <c r="AF111" s="136">
        <v>0</v>
      </c>
      <c r="AG111" s="136">
        <v>0</v>
      </c>
      <c r="AH111" s="136">
        <f>+SUM(AH102:AH110)</f>
        <v>11182139.857877599</v>
      </c>
      <c r="AI111" s="136">
        <f>+SUM(AI102:AI110)</f>
        <v>48258537000</v>
      </c>
      <c r="AJ111" s="136">
        <v>0</v>
      </c>
      <c r="AK111" s="136"/>
      <c r="AL111" s="136">
        <f>+SUM(AL102:AL110)</f>
        <v>11672531.968668781</v>
      </c>
      <c r="AM111" s="136">
        <f>+SUM(AM102:AM110)</f>
        <v>50374913000</v>
      </c>
    </row>
  </sheetData>
  <mergeCells count="9">
    <mergeCell ref="Y3:AA3"/>
    <mergeCell ref="AC3:AE3"/>
    <mergeCell ref="AG3:AI3"/>
    <mergeCell ref="AK3:AM3"/>
    <mergeCell ref="E3:G3"/>
    <mergeCell ref="I3:K3"/>
    <mergeCell ref="M3:O3"/>
    <mergeCell ref="Q3:S3"/>
    <mergeCell ref="U3:W3"/>
  </mergeCell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AO82"/>
  <sheetViews>
    <sheetView topLeftCell="V46" zoomScale="85" zoomScaleNormal="85" workbookViewId="0">
      <selection activeCell="AL24" sqref="AL24"/>
    </sheetView>
  </sheetViews>
  <sheetFormatPr baseColWidth="10" defaultColWidth="11.42578125" defaultRowHeight="15" x14ac:dyDescent="0.25"/>
  <cols>
    <col min="1" max="1" width="16.42578125" style="15" customWidth="1"/>
    <col min="2" max="2" width="9.28515625" style="15" customWidth="1"/>
    <col min="3" max="3" width="19.5703125" style="1" customWidth="1"/>
    <col min="4" max="4" width="45.42578125" style="15" customWidth="1"/>
    <col min="5" max="5" width="13.5703125" style="16" customWidth="1"/>
    <col min="6" max="6" width="22.140625" style="15" customWidth="1"/>
    <col min="7" max="7" width="18.42578125" style="15" customWidth="1"/>
    <col min="8" max="8" width="11.42578125" style="15" customWidth="1"/>
    <col min="9" max="9" width="11.85546875" style="16" customWidth="1"/>
    <col min="10" max="10" width="22.140625" style="15" customWidth="1"/>
    <col min="11" max="11" width="18.42578125" style="15" customWidth="1"/>
    <col min="12" max="12" width="11.42578125" style="15" customWidth="1"/>
    <col min="13" max="13" width="11.85546875" style="16" customWidth="1"/>
    <col min="14" max="14" width="22.140625" style="15" customWidth="1"/>
    <col min="15" max="15" width="18.42578125" style="15" customWidth="1"/>
    <col min="16" max="16" width="11.42578125" style="15" customWidth="1"/>
    <col min="17" max="17" width="12" style="16" customWidth="1"/>
    <col min="18" max="18" width="22.140625" style="15" customWidth="1"/>
    <col min="19" max="19" width="18.42578125" style="15" customWidth="1"/>
    <col min="20" max="20" width="11.42578125" style="15" customWidth="1"/>
    <col min="21" max="21" width="12.140625" style="16" customWidth="1"/>
    <col min="22" max="22" width="22.140625" style="15" customWidth="1"/>
    <col min="23" max="23" width="18.42578125" style="15" customWidth="1"/>
    <col min="24" max="24" width="11.42578125" style="15" customWidth="1"/>
    <col min="25" max="25" width="12.140625" style="16" customWidth="1"/>
    <col min="26" max="26" width="22.140625" style="15" customWidth="1"/>
    <col min="27" max="27" width="18.42578125" style="15" customWidth="1"/>
    <col min="28" max="28" width="11.42578125" style="15" customWidth="1"/>
    <col min="29" max="29" width="12" style="16" customWidth="1"/>
    <col min="30" max="30" width="22.140625" style="15" customWidth="1"/>
    <col min="31" max="31" width="18.42578125" style="15" customWidth="1"/>
    <col min="32" max="32" width="11.42578125" style="15" customWidth="1"/>
    <col min="33" max="33" width="11.140625" style="16" customWidth="1"/>
    <col min="34" max="34" width="22.140625" style="15" customWidth="1"/>
    <col min="35" max="35" width="18.42578125" style="15" customWidth="1"/>
    <col min="36" max="36" width="11.42578125" style="15" customWidth="1"/>
    <col min="37" max="37" width="11.5703125" style="16" customWidth="1"/>
    <col min="38" max="38" width="22.140625" style="15" customWidth="1"/>
    <col min="39" max="39" width="18.42578125" style="15" customWidth="1"/>
    <col min="40" max="16384" width="11.42578125" style="15"/>
  </cols>
  <sheetData>
    <row r="1" spans="1:39" ht="26.25" customHeight="1" x14ac:dyDescent="0.25">
      <c r="A1" s="175" t="s">
        <v>193</v>
      </c>
      <c r="B1" s="176">
        <f>+CAPEX!C1</f>
        <v>4315.68</v>
      </c>
      <c r="E1" s="212" t="str">
        <f>+'Caract básicas'!F3</f>
        <v>Tramo 1. Alt 6</v>
      </c>
      <c r="F1" s="213"/>
      <c r="G1" s="214"/>
      <c r="I1" s="212" t="str">
        <f>+'Caract básicas'!G3</f>
        <v>Tramo 1. Alt 1</v>
      </c>
      <c r="J1" s="213"/>
      <c r="K1" s="214"/>
      <c r="M1" s="212" t="str">
        <f>+'Caract básicas'!H3</f>
        <v>Tramo 1. Alt 4</v>
      </c>
      <c r="N1" s="213"/>
      <c r="O1" s="214"/>
      <c r="Q1" s="212" t="str">
        <f>+'Caract básicas'!I3</f>
        <v>Tramo 2. Alt 2</v>
      </c>
      <c r="R1" s="213"/>
      <c r="S1" s="214"/>
      <c r="U1" s="212" t="str">
        <f>+'Caract básicas'!J3</f>
        <v>Tramo 2. Alt 5</v>
      </c>
      <c r="V1" s="213"/>
      <c r="W1" s="214"/>
      <c r="Y1" s="212" t="str">
        <f>+'Caract básicas'!K3</f>
        <v>Tramo 2. Alt 3</v>
      </c>
      <c r="Z1" s="213"/>
      <c r="AA1" s="214"/>
      <c r="AC1" s="212" t="str">
        <f>+'Caract básicas'!L3</f>
        <v>Ramal. Alt 1</v>
      </c>
      <c r="AD1" s="213"/>
      <c r="AE1" s="214"/>
      <c r="AG1" s="212" t="str">
        <f>+'Caract básicas'!M3</f>
        <v>Ramal. Alt 2</v>
      </c>
      <c r="AH1" s="213"/>
      <c r="AI1" s="214"/>
      <c r="AK1" s="212" t="str">
        <f>+'Caract básicas'!N3</f>
        <v>Ramal. Alt 3</v>
      </c>
      <c r="AL1" s="213"/>
      <c r="AM1" s="214"/>
    </row>
    <row r="2" spans="1:39" x14ac:dyDescent="0.25">
      <c r="C2" s="208" t="s">
        <v>192</v>
      </c>
      <c r="D2" s="24" t="s">
        <v>42</v>
      </c>
      <c r="E2" s="172">
        <f>+'Caract básicas'!F8</f>
        <v>2</v>
      </c>
      <c r="F2" s="138"/>
      <c r="G2" s="173"/>
      <c r="I2" s="172">
        <f>+'Caract básicas'!G8</f>
        <v>2</v>
      </c>
      <c r="J2" s="138"/>
      <c r="K2" s="173"/>
      <c r="M2" s="172">
        <f>+'Caract básicas'!H8</f>
        <v>2</v>
      </c>
      <c r="N2" s="138"/>
      <c r="O2" s="173"/>
      <c r="Q2" s="172">
        <f>+'Caract básicas'!I8</f>
        <v>2</v>
      </c>
      <c r="R2" s="138"/>
      <c r="S2" s="173"/>
      <c r="U2" s="172">
        <f>+'Caract básicas'!J8</f>
        <v>2</v>
      </c>
      <c r="V2" s="138"/>
      <c r="W2" s="173"/>
      <c r="Y2" s="172">
        <f>+'Caract básicas'!K8</f>
        <v>2</v>
      </c>
      <c r="Z2" s="138"/>
      <c r="AA2" s="173"/>
      <c r="AC2" s="172">
        <f>+'Caract básicas'!L8</f>
        <v>2</v>
      </c>
      <c r="AD2" s="138"/>
      <c r="AE2" s="173"/>
      <c r="AG2" s="172">
        <f>+'Caract básicas'!M8</f>
        <v>2</v>
      </c>
      <c r="AH2" s="138"/>
      <c r="AI2" s="173"/>
      <c r="AK2" s="172">
        <f>+'Caract básicas'!N8</f>
        <v>2</v>
      </c>
      <c r="AL2" s="138"/>
      <c r="AM2" s="173"/>
    </row>
    <row r="3" spans="1:39" x14ac:dyDescent="0.25">
      <c r="C3" s="208"/>
      <c r="D3" s="24" t="s">
        <v>43</v>
      </c>
      <c r="E3" s="172">
        <f>+'Caract básicas'!F7</f>
        <v>1</v>
      </c>
      <c r="F3" s="138"/>
      <c r="G3" s="173"/>
      <c r="I3" s="172">
        <f>+'Caract básicas'!G7</f>
        <v>1</v>
      </c>
      <c r="J3" s="138"/>
      <c r="K3" s="173"/>
      <c r="M3" s="172">
        <f>+'Caract básicas'!H7</f>
        <v>1</v>
      </c>
      <c r="N3" s="138"/>
      <c r="O3" s="173"/>
      <c r="Q3" s="172">
        <f>+'Caract básicas'!I7</f>
        <v>1</v>
      </c>
      <c r="R3" s="138"/>
      <c r="S3" s="173"/>
      <c r="U3" s="172">
        <f>+'Caract básicas'!J7</f>
        <v>1</v>
      </c>
      <c r="V3" s="138"/>
      <c r="W3" s="173"/>
      <c r="Y3" s="172">
        <f>+'Caract básicas'!K7</f>
        <v>1</v>
      </c>
      <c r="Z3" s="138"/>
      <c r="AA3" s="173"/>
      <c r="AC3" s="172">
        <f>+'Caract básicas'!L7</f>
        <v>1</v>
      </c>
      <c r="AD3" s="138"/>
      <c r="AE3" s="173"/>
      <c r="AG3" s="172">
        <f>+'Caract básicas'!M7</f>
        <v>1</v>
      </c>
      <c r="AH3" s="138"/>
      <c r="AI3" s="173"/>
      <c r="AK3" s="172">
        <f>+'Caract básicas'!N7</f>
        <v>1</v>
      </c>
      <c r="AL3" s="138"/>
      <c r="AM3" s="173"/>
    </row>
    <row r="4" spans="1:39" x14ac:dyDescent="0.25">
      <c r="C4" s="208"/>
      <c r="D4" s="24" t="s">
        <v>44</v>
      </c>
      <c r="E4" s="172">
        <f>+'Caract básicas'!F7</f>
        <v>1</v>
      </c>
      <c r="F4" s="138"/>
      <c r="G4" s="173"/>
      <c r="I4" s="172">
        <f>+'Caract básicas'!G7</f>
        <v>1</v>
      </c>
      <c r="J4" s="138"/>
      <c r="K4" s="173"/>
      <c r="M4" s="172">
        <f>+'Caract básicas'!H7</f>
        <v>1</v>
      </c>
      <c r="N4" s="138"/>
      <c r="O4" s="173"/>
      <c r="Q4" s="172">
        <f>+'Caract básicas'!I7</f>
        <v>1</v>
      </c>
      <c r="R4" s="138"/>
      <c r="S4" s="173"/>
      <c r="U4" s="172">
        <f>+'Caract básicas'!J7</f>
        <v>1</v>
      </c>
      <c r="V4" s="138"/>
      <c r="W4" s="173"/>
      <c r="Y4" s="172">
        <f>+'Caract básicas'!K7</f>
        <v>1</v>
      </c>
      <c r="Z4" s="138"/>
      <c r="AA4" s="173"/>
      <c r="AC4" s="172">
        <f>+'Caract básicas'!L7</f>
        <v>1</v>
      </c>
      <c r="AD4" s="138"/>
      <c r="AE4" s="173"/>
      <c r="AG4" s="172">
        <f>+'Caract básicas'!M7</f>
        <v>1</v>
      </c>
      <c r="AH4" s="138"/>
      <c r="AI4" s="173"/>
      <c r="AK4" s="172">
        <f>+'Caract básicas'!N7</f>
        <v>1</v>
      </c>
      <c r="AL4" s="138"/>
      <c r="AM4" s="173"/>
    </row>
    <row r="5" spans="1:39" x14ac:dyDescent="0.25">
      <c r="C5" s="208"/>
      <c r="D5" s="24" t="s">
        <v>79</v>
      </c>
      <c r="E5" s="172">
        <f>+'Caract básicas'!F8+'Caract básicas'!F9-'Caract básicas'!F7-1</f>
        <v>0</v>
      </c>
      <c r="F5" s="138"/>
      <c r="G5" s="173"/>
      <c r="I5" s="172">
        <f>+'Caract básicas'!G8+'Caract básicas'!G9-'Caract básicas'!G7-1</f>
        <v>0</v>
      </c>
      <c r="J5" s="138"/>
      <c r="K5" s="173"/>
      <c r="M5" s="172">
        <f>+'Caract básicas'!H8+'Caract básicas'!H9-'Caract básicas'!H7-1</f>
        <v>0</v>
      </c>
      <c r="N5" s="138"/>
      <c r="O5" s="173"/>
      <c r="Q5" s="172">
        <f>+'Caract básicas'!I8+'Caract básicas'!I9-'Caract básicas'!I7-1</f>
        <v>0</v>
      </c>
      <c r="R5" s="138"/>
      <c r="S5" s="173"/>
      <c r="U5" s="172">
        <f>+'Caract básicas'!J8+'Caract básicas'!J9-'Caract básicas'!J7-1</f>
        <v>0</v>
      </c>
      <c r="V5" s="138"/>
      <c r="W5" s="173"/>
      <c r="Y5" s="172">
        <f>+'Caract básicas'!K8+'Caract básicas'!K9-'Caract básicas'!K7-1</f>
        <v>0</v>
      </c>
      <c r="Z5" s="138"/>
      <c r="AA5" s="173"/>
      <c r="AC5" s="172">
        <f>+'Caract básicas'!L8+'Caract básicas'!L9-'Caract básicas'!L7-1</f>
        <v>0</v>
      </c>
      <c r="AD5" s="138"/>
      <c r="AE5" s="173"/>
      <c r="AG5" s="172">
        <f>+'Caract básicas'!M8+'Caract básicas'!M9-'Caract básicas'!M7-1</f>
        <v>0</v>
      </c>
      <c r="AH5" s="138"/>
      <c r="AI5" s="173"/>
      <c r="AK5" s="172">
        <f>+'Caract básicas'!N8+'Caract básicas'!N9-'Caract básicas'!N7-1</f>
        <v>0</v>
      </c>
      <c r="AL5" s="138"/>
      <c r="AM5" s="173"/>
    </row>
    <row r="6" spans="1:39" x14ac:dyDescent="0.25">
      <c r="C6" s="208"/>
      <c r="D6" s="24" t="s">
        <v>45</v>
      </c>
      <c r="E6" s="172">
        <f>+'Caract básicas'!F4</f>
        <v>1646.8732677410244</v>
      </c>
      <c r="F6" s="138"/>
      <c r="G6" s="173"/>
      <c r="I6" s="172">
        <f>+'Caract básicas'!G4</f>
        <v>1566.5071019628349</v>
      </c>
      <c r="J6" s="138"/>
      <c r="K6" s="173"/>
      <c r="M6" s="172">
        <f>+'Caract básicas'!H4</f>
        <v>1710.9432886568743</v>
      </c>
      <c r="N6" s="138"/>
      <c r="O6" s="173"/>
      <c r="Q6" s="172">
        <f>+'Caract básicas'!I4</f>
        <v>1225.8360952835417</v>
      </c>
      <c r="R6" s="138"/>
      <c r="S6" s="173"/>
      <c r="U6" s="172">
        <f>+'Caract básicas'!J4</f>
        <v>1104.2906083092439</v>
      </c>
      <c r="V6" s="138"/>
      <c r="W6" s="173"/>
      <c r="Y6" s="172">
        <f>+'Caract básicas'!K4</f>
        <v>1317.7514782765377</v>
      </c>
      <c r="Z6" s="138"/>
      <c r="AA6" s="173"/>
      <c r="AC6" s="172">
        <f>+'Caract básicas'!L4</f>
        <v>1794.2413661768028</v>
      </c>
      <c r="AD6" s="138"/>
      <c r="AE6" s="173"/>
      <c r="AG6" s="172">
        <f>+'Caract básicas'!M4</f>
        <v>2194.5471129369721</v>
      </c>
      <c r="AH6" s="138"/>
      <c r="AI6" s="173"/>
      <c r="AK6" s="172">
        <f>+'Caract básicas'!N4</f>
        <v>2345.0199044997466</v>
      </c>
      <c r="AL6" s="138"/>
      <c r="AM6" s="173"/>
    </row>
    <row r="7" spans="1:39" x14ac:dyDescent="0.25">
      <c r="C7" s="208"/>
      <c r="D7" s="24" t="s">
        <v>78</v>
      </c>
      <c r="E7" s="172">
        <f>+'Caract básicas'!F6</f>
        <v>126.6</v>
      </c>
      <c r="F7" s="138"/>
      <c r="G7" s="173"/>
      <c r="I7" s="172">
        <f>+'Caract básicas'!G6</f>
        <v>121.09</v>
      </c>
      <c r="J7" s="138"/>
      <c r="K7" s="173"/>
      <c r="M7" s="172">
        <f>+'Caract básicas'!H6</f>
        <v>122.81</v>
      </c>
      <c r="N7" s="138"/>
      <c r="O7" s="173"/>
      <c r="Q7" s="172">
        <f>+'Caract básicas'!I6</f>
        <v>140.22</v>
      </c>
      <c r="R7" s="138"/>
      <c r="S7" s="173"/>
      <c r="U7" s="172">
        <f>+'Caract básicas'!J6</f>
        <v>133.1</v>
      </c>
      <c r="V7" s="138"/>
      <c r="W7" s="173"/>
      <c r="Y7" s="172">
        <f>+'Caract básicas'!K6</f>
        <v>150.22999999999999</v>
      </c>
      <c r="Z7" s="138"/>
      <c r="AA7" s="173"/>
      <c r="AC7" s="172">
        <f>+'Caract básicas'!L6</f>
        <v>166.6</v>
      </c>
      <c r="AD7" s="138"/>
      <c r="AE7" s="173"/>
      <c r="AG7" s="172">
        <f>+'Caract básicas'!M6</f>
        <v>212.65</v>
      </c>
      <c r="AH7" s="138"/>
      <c r="AI7" s="173"/>
      <c r="AK7" s="172">
        <f>+'Caract básicas'!N6</f>
        <v>211.53</v>
      </c>
      <c r="AL7" s="138"/>
      <c r="AM7" s="173"/>
    </row>
    <row r="8" spans="1:39" x14ac:dyDescent="0.25">
      <c r="C8" s="208"/>
      <c r="D8" s="24" t="s">
        <v>46</v>
      </c>
      <c r="E8" s="172">
        <f>+'Caract básicas'!F24</f>
        <v>13</v>
      </c>
      <c r="F8" s="138"/>
      <c r="G8" s="173"/>
      <c r="I8" s="172">
        <f>+'Caract básicas'!G24</f>
        <v>11</v>
      </c>
      <c r="J8" s="138"/>
      <c r="K8" s="173"/>
      <c r="M8" s="172">
        <f>+'Caract básicas'!H24</f>
        <v>12</v>
      </c>
      <c r="N8" s="138"/>
      <c r="O8" s="173"/>
      <c r="Q8" s="172">
        <f>+'Caract básicas'!I24</f>
        <v>10</v>
      </c>
      <c r="R8" s="138"/>
      <c r="S8" s="173"/>
      <c r="U8" s="172">
        <f>+'Caract básicas'!J24</f>
        <v>9</v>
      </c>
      <c r="V8" s="138"/>
      <c r="W8" s="173"/>
      <c r="Y8" s="172">
        <f>+'Caract básicas'!K24</f>
        <v>11</v>
      </c>
      <c r="Z8" s="138"/>
      <c r="AA8" s="173"/>
      <c r="AC8" s="172">
        <f>+'Caract básicas'!L24</f>
        <v>17</v>
      </c>
      <c r="AD8" s="138"/>
      <c r="AE8" s="173"/>
      <c r="AG8" s="172">
        <f>+'Caract básicas'!M24</f>
        <v>15</v>
      </c>
      <c r="AH8" s="138"/>
      <c r="AI8" s="173"/>
      <c r="AK8" s="172">
        <f>+'Caract básicas'!N24</f>
        <v>13</v>
      </c>
      <c r="AL8" s="138"/>
      <c r="AM8" s="173"/>
    </row>
    <row r="9" spans="1:39" x14ac:dyDescent="0.25">
      <c r="C9" s="208"/>
      <c r="D9" s="24" t="s">
        <v>47</v>
      </c>
      <c r="E9" s="172">
        <f>+'Caract básicas'!F23</f>
        <v>81</v>
      </c>
      <c r="F9" s="138"/>
      <c r="G9" s="173"/>
      <c r="I9" s="172">
        <f>+'Caract básicas'!G23</f>
        <v>78</v>
      </c>
      <c r="J9" s="138"/>
      <c r="K9" s="173"/>
      <c r="M9" s="172">
        <f>+'Caract básicas'!H23</f>
        <v>83</v>
      </c>
      <c r="N9" s="138"/>
      <c r="O9" s="173"/>
      <c r="Q9" s="172">
        <f>+'Caract básicas'!I23</f>
        <v>38</v>
      </c>
      <c r="R9" s="138"/>
      <c r="S9" s="173"/>
      <c r="U9" s="172">
        <f>+'Caract básicas'!J23</f>
        <v>35</v>
      </c>
      <c r="V9" s="138"/>
      <c r="W9" s="173"/>
      <c r="Y9" s="172">
        <f>+'Caract básicas'!K23</f>
        <v>40</v>
      </c>
      <c r="Z9" s="138"/>
      <c r="AA9" s="173"/>
      <c r="AC9" s="172">
        <f>+'Caract básicas'!L23</f>
        <v>41</v>
      </c>
      <c r="AD9" s="138"/>
      <c r="AE9" s="173"/>
      <c r="AG9" s="172">
        <f>+'Caract básicas'!M23</f>
        <v>48</v>
      </c>
      <c r="AH9" s="138"/>
      <c r="AI9" s="173"/>
      <c r="AK9" s="172">
        <f>+'Caract básicas'!N23</f>
        <v>51</v>
      </c>
      <c r="AL9" s="138"/>
      <c r="AM9" s="173"/>
    </row>
    <row r="10" spans="1:39" x14ac:dyDescent="0.25">
      <c r="C10" s="12"/>
      <c r="D10" s="13"/>
      <c r="E10" s="28"/>
      <c r="F10" s="29"/>
      <c r="G10" s="30"/>
      <c r="I10" s="28"/>
      <c r="J10" s="29"/>
      <c r="K10" s="30"/>
      <c r="M10" s="28"/>
      <c r="N10" s="29"/>
      <c r="O10" s="30"/>
      <c r="Q10" s="28"/>
      <c r="R10" s="29"/>
      <c r="S10" s="30"/>
      <c r="U10" s="28"/>
      <c r="V10" s="29"/>
      <c r="W10" s="30"/>
      <c r="Y10" s="28"/>
      <c r="Z10" s="29"/>
      <c r="AA10" s="30"/>
      <c r="AC10" s="28"/>
      <c r="AD10" s="29"/>
      <c r="AE10" s="30"/>
      <c r="AG10" s="28"/>
      <c r="AH10" s="29"/>
      <c r="AI10" s="30"/>
      <c r="AK10" s="28"/>
      <c r="AL10" s="29"/>
      <c r="AM10" s="30"/>
    </row>
    <row r="11" spans="1:39" ht="30" x14ac:dyDescent="0.25">
      <c r="E11" s="31"/>
      <c r="F11" s="169" t="s">
        <v>198</v>
      </c>
      <c r="G11" s="169" t="s">
        <v>199</v>
      </c>
      <c r="I11" s="31"/>
      <c r="J11" s="169" t="s">
        <v>198</v>
      </c>
      <c r="K11" s="169" t="s">
        <v>199</v>
      </c>
      <c r="M11" s="31"/>
      <c r="N11" s="169" t="s">
        <v>198</v>
      </c>
      <c r="O11" s="169" t="s">
        <v>199</v>
      </c>
      <c r="Q11" s="31"/>
      <c r="R11" s="169" t="s">
        <v>198</v>
      </c>
      <c r="S11" s="169" t="s">
        <v>199</v>
      </c>
      <c r="U11" s="31"/>
      <c r="V11" s="169" t="s">
        <v>198</v>
      </c>
      <c r="W11" s="169" t="s">
        <v>199</v>
      </c>
      <c r="Y11" s="31"/>
      <c r="Z11" s="169" t="s">
        <v>198</v>
      </c>
      <c r="AA11" s="169" t="s">
        <v>199</v>
      </c>
      <c r="AC11" s="31"/>
      <c r="AD11" s="169" t="s">
        <v>198</v>
      </c>
      <c r="AE11" s="169" t="s">
        <v>199</v>
      </c>
      <c r="AG11" s="31"/>
      <c r="AH11" s="169" t="s">
        <v>198</v>
      </c>
      <c r="AI11" s="169" t="s">
        <v>199</v>
      </c>
      <c r="AK11" s="31"/>
      <c r="AL11" s="169" t="s">
        <v>198</v>
      </c>
      <c r="AM11" s="169" t="s">
        <v>199</v>
      </c>
    </row>
    <row r="12" spans="1:39" x14ac:dyDescent="0.25">
      <c r="C12" s="208" t="s">
        <v>81</v>
      </c>
      <c r="D12" s="24" t="str">
        <f>+'Caract básicas'!C49</f>
        <v>Responsable de explotación</v>
      </c>
      <c r="E12" s="168">
        <v>1</v>
      </c>
      <c r="F12" s="167">
        <f>+'Caract básicas'!$E$49</f>
        <v>185096000</v>
      </c>
      <c r="G12" s="167">
        <f>+F12*E12</f>
        <v>185096000</v>
      </c>
      <c r="I12" s="168">
        <v>1</v>
      </c>
      <c r="J12" s="167">
        <f>+'Caract básicas'!$E$49</f>
        <v>185096000</v>
      </c>
      <c r="K12" s="167">
        <f>+J12*I12</f>
        <v>185096000</v>
      </c>
      <c r="M12" s="168">
        <v>1</v>
      </c>
      <c r="N12" s="167">
        <f>+'Caract básicas'!$E$49</f>
        <v>185096000</v>
      </c>
      <c r="O12" s="167">
        <f>+N12*M12</f>
        <v>185096000</v>
      </c>
      <c r="Q12" s="168">
        <v>1</v>
      </c>
      <c r="R12" s="167">
        <f>+'Caract básicas'!$E$49</f>
        <v>185096000</v>
      </c>
      <c r="S12" s="167">
        <f>+R12*Q12</f>
        <v>185096000</v>
      </c>
      <c r="U12" s="168">
        <v>1</v>
      </c>
      <c r="V12" s="167">
        <f>+'Caract básicas'!$E$49</f>
        <v>185096000</v>
      </c>
      <c r="W12" s="167">
        <f>+V12*U12</f>
        <v>185096000</v>
      </c>
      <c r="Y12" s="168">
        <v>1</v>
      </c>
      <c r="Z12" s="167">
        <f>+'Caract básicas'!$E$49</f>
        <v>185096000</v>
      </c>
      <c r="AA12" s="167">
        <f>+Z12*Y12</f>
        <v>185096000</v>
      </c>
      <c r="AC12" s="168">
        <v>1</v>
      </c>
      <c r="AD12" s="167">
        <f>+'Caract básicas'!$E$49</f>
        <v>185096000</v>
      </c>
      <c r="AE12" s="167">
        <f>+AD12*AC12</f>
        <v>185096000</v>
      </c>
      <c r="AG12" s="168">
        <v>1</v>
      </c>
      <c r="AH12" s="167">
        <f>+'Caract básicas'!$E$49</f>
        <v>185096000</v>
      </c>
      <c r="AI12" s="167">
        <f>+AH12*AG12</f>
        <v>185096000</v>
      </c>
      <c r="AK12" s="168">
        <v>1</v>
      </c>
      <c r="AL12" s="167">
        <f>+'Caract básicas'!$E$49</f>
        <v>185096000</v>
      </c>
      <c r="AM12" s="167">
        <f>+AL12*AK12</f>
        <v>185096000</v>
      </c>
    </row>
    <row r="13" spans="1:39" x14ac:dyDescent="0.25">
      <c r="C13" s="208"/>
      <c r="D13" s="24" t="str">
        <f>+'Caract básicas'!C50</f>
        <v>Jefe de mantenimiento</v>
      </c>
      <c r="E13" s="34">
        <f>+ROUNDUP(('Caract básicas'!F7)*'Caract básicas'!F28,0)</f>
        <v>3</v>
      </c>
      <c r="F13" s="167">
        <f>+'Caract básicas'!$E$50</f>
        <v>128906000</v>
      </c>
      <c r="G13" s="167">
        <f>+F13*E13</f>
        <v>386718000</v>
      </c>
      <c r="I13" s="34">
        <f>+ROUNDUP(('Caract básicas'!G7)*'Caract básicas'!G28,0)</f>
        <v>3</v>
      </c>
      <c r="J13" s="167">
        <f>+'Caract básicas'!$E$50</f>
        <v>128906000</v>
      </c>
      <c r="K13" s="167">
        <f>+J13*I13</f>
        <v>386718000</v>
      </c>
      <c r="M13" s="34">
        <f>+ROUNDUP(('Caract básicas'!H7)*'Caract básicas'!H28,0)</f>
        <v>3</v>
      </c>
      <c r="N13" s="167">
        <f>+'Caract básicas'!$E$50</f>
        <v>128906000</v>
      </c>
      <c r="O13" s="167">
        <f>+N13*M13</f>
        <v>386718000</v>
      </c>
      <c r="Q13" s="34">
        <f>+ROUNDUP(('Caract básicas'!I7)*'Caract básicas'!I28,0)</f>
        <v>3</v>
      </c>
      <c r="R13" s="167">
        <f>+'Caract básicas'!$E$50</f>
        <v>128906000</v>
      </c>
      <c r="S13" s="167">
        <f>+R13*Q13</f>
        <v>386718000</v>
      </c>
      <c r="U13" s="34">
        <f>+ROUNDUP(('Caract básicas'!J7)*'Caract básicas'!J28,0)</f>
        <v>3</v>
      </c>
      <c r="V13" s="167">
        <f>+'Caract básicas'!$E$50</f>
        <v>128906000</v>
      </c>
      <c r="W13" s="167">
        <f>+V13*U13</f>
        <v>386718000</v>
      </c>
      <c r="Y13" s="34">
        <f>+ROUNDUP(('Caract básicas'!K7)*'Caract básicas'!K28,0)</f>
        <v>3</v>
      </c>
      <c r="Z13" s="167">
        <f>+'Caract básicas'!$E$50</f>
        <v>128906000</v>
      </c>
      <c r="AA13" s="167">
        <f>+Z13*Y13</f>
        <v>386718000</v>
      </c>
      <c r="AC13" s="34">
        <f>+ROUNDUP(('Caract básicas'!L7)*'Caract básicas'!L28,0)</f>
        <v>3</v>
      </c>
      <c r="AD13" s="167">
        <f>+'Caract básicas'!$E$50</f>
        <v>128906000</v>
      </c>
      <c r="AE13" s="167">
        <f>+AD13*AC13</f>
        <v>386718000</v>
      </c>
      <c r="AG13" s="34">
        <f>+ROUNDUP(('Caract básicas'!M7)*'Caract básicas'!M28,0)</f>
        <v>3</v>
      </c>
      <c r="AH13" s="167">
        <f>+'Caract básicas'!$E$50</f>
        <v>128906000</v>
      </c>
      <c r="AI13" s="167">
        <f>+AH13*AG13</f>
        <v>386718000</v>
      </c>
      <c r="AK13" s="34">
        <f>+ROUNDUP(('Caract básicas'!N7)*'Caract básicas'!N28,0)</f>
        <v>3</v>
      </c>
      <c r="AL13" s="167">
        <f>+'Caract básicas'!$E$50</f>
        <v>128906000</v>
      </c>
      <c r="AM13" s="167">
        <f>+AL13*AK13</f>
        <v>386718000</v>
      </c>
    </row>
    <row r="14" spans="1:39" x14ac:dyDescent="0.25">
      <c r="C14" s="208"/>
      <c r="D14" s="24" t="str">
        <f>+'Caract básicas'!C51</f>
        <v>Técnicos de mantenimiento</v>
      </c>
      <c r="E14" s="34">
        <f>ROUNDUP('Caract básicas'!F8*ROUNDUP('Caract básicas'!F28,0),0)+ROUNDUP('Caract básicas'!F8/2,0)</f>
        <v>7</v>
      </c>
      <c r="F14" s="167">
        <f>+'Caract básicas'!$E$51</f>
        <v>53897000</v>
      </c>
      <c r="G14" s="167">
        <f>+F14*E14</f>
        <v>377279000</v>
      </c>
      <c r="I14" s="34">
        <f>ROUNDUP('Caract básicas'!G8*ROUNDUP('Caract básicas'!G28,0),0)+ROUNDUP('Caract básicas'!G8/2,0)</f>
        <v>7</v>
      </c>
      <c r="J14" s="167">
        <f>+'Caract básicas'!$E$51</f>
        <v>53897000</v>
      </c>
      <c r="K14" s="167">
        <f>+J14*I14</f>
        <v>377279000</v>
      </c>
      <c r="M14" s="34">
        <f>ROUNDUP('Caract básicas'!H8*ROUNDUP('Caract básicas'!H28,0),0)+ROUNDUP('Caract básicas'!H8/2,0)</f>
        <v>7</v>
      </c>
      <c r="N14" s="167">
        <f>+'Caract básicas'!$E$51</f>
        <v>53897000</v>
      </c>
      <c r="O14" s="167">
        <f>+N14*M14</f>
        <v>377279000</v>
      </c>
      <c r="Q14" s="34">
        <f>ROUNDUP('Caract básicas'!I8*ROUNDUP('Caract básicas'!I28,0),0)+ROUNDUP('Caract básicas'!I8/2,0)</f>
        <v>7</v>
      </c>
      <c r="R14" s="167">
        <f>+'Caract básicas'!$E$51</f>
        <v>53897000</v>
      </c>
      <c r="S14" s="167">
        <f>+R14*Q14</f>
        <v>377279000</v>
      </c>
      <c r="U14" s="34">
        <f>ROUNDUP('Caract básicas'!J8*ROUNDUP('Caract básicas'!J28,0),0)+ROUNDUP('Caract básicas'!J8/2,0)</f>
        <v>7</v>
      </c>
      <c r="V14" s="167">
        <f>+'Caract básicas'!$E$51</f>
        <v>53897000</v>
      </c>
      <c r="W14" s="167">
        <f>+V14*U14</f>
        <v>377279000</v>
      </c>
      <c r="Y14" s="34">
        <f>ROUNDUP('Caract básicas'!K8*ROUNDUP('Caract básicas'!K28,0),0)+ROUNDUP('Caract básicas'!K8/2,0)</f>
        <v>7</v>
      </c>
      <c r="Z14" s="167">
        <f>+'Caract básicas'!$E$51</f>
        <v>53897000</v>
      </c>
      <c r="AA14" s="167">
        <f>+Z14*Y14</f>
        <v>377279000</v>
      </c>
      <c r="AC14" s="34">
        <f>ROUNDUP('Caract básicas'!L8*ROUNDUP('Caract básicas'!L28,0),0)+ROUNDUP('Caract básicas'!L8/2,0)</f>
        <v>7</v>
      </c>
      <c r="AD14" s="167">
        <f>+'Caract básicas'!$E$51</f>
        <v>53897000</v>
      </c>
      <c r="AE14" s="167">
        <f>+AD14*AC14</f>
        <v>377279000</v>
      </c>
      <c r="AG14" s="34">
        <f>ROUNDUP('Caract básicas'!M8*ROUNDUP('Caract básicas'!M28,0),0)+ROUNDUP('Caract básicas'!M8/2,0)</f>
        <v>7</v>
      </c>
      <c r="AH14" s="167">
        <f>+'Caract básicas'!$E$51</f>
        <v>53897000</v>
      </c>
      <c r="AI14" s="167">
        <f>+AH14*AG14</f>
        <v>377279000</v>
      </c>
      <c r="AK14" s="34">
        <f>ROUNDUP('Caract básicas'!N8*ROUNDUP('Caract básicas'!N28,0),0)+ROUNDUP('Caract básicas'!N8/2,0)</f>
        <v>7</v>
      </c>
      <c r="AL14" s="167">
        <f>+'Caract básicas'!$E$51</f>
        <v>53897000</v>
      </c>
      <c r="AM14" s="167">
        <f>+AL14*AK14</f>
        <v>377279000</v>
      </c>
    </row>
    <row r="15" spans="1:39" x14ac:dyDescent="0.25">
      <c r="C15" s="208"/>
      <c r="D15" s="24" t="str">
        <f>+'Caract básicas'!C52</f>
        <v>Conductores instalación</v>
      </c>
      <c r="E15" s="34">
        <f>+ROUNDUP('Caract básicas'!F7*ROUNDUP('Caract básicas'!F28,0),0)+ROUNDUP('Caract básicas'!F7/2,0)</f>
        <v>4</v>
      </c>
      <c r="F15" s="167">
        <f>+'Caract básicas'!$E$52</f>
        <v>53897000</v>
      </c>
      <c r="G15" s="167">
        <f>+F15*E15</f>
        <v>215588000</v>
      </c>
      <c r="I15" s="34">
        <f>+ROUNDUP('Caract básicas'!G7*ROUNDUP('Caract básicas'!G28,0),0)+ROUNDUP('Caract básicas'!G7/2,0)</f>
        <v>4</v>
      </c>
      <c r="J15" s="167">
        <f>+'Caract básicas'!$E$52</f>
        <v>53897000</v>
      </c>
      <c r="K15" s="167">
        <f>+J15*I15</f>
        <v>215588000</v>
      </c>
      <c r="M15" s="34">
        <f>+ROUNDUP('Caract básicas'!H7*ROUNDUP('Caract básicas'!H28,0),0)+ROUNDUP('Caract básicas'!H7/2,0)</f>
        <v>4</v>
      </c>
      <c r="N15" s="167">
        <f>+'Caract básicas'!$E$52</f>
        <v>53897000</v>
      </c>
      <c r="O15" s="167">
        <f>+N15*M15</f>
        <v>215588000</v>
      </c>
      <c r="Q15" s="34">
        <f>+ROUNDUP('Caract básicas'!I7*ROUNDUP('Caract básicas'!I28,0),0)+ROUNDUP('Caract básicas'!I7/2,0)</f>
        <v>4</v>
      </c>
      <c r="R15" s="167">
        <f>+'Caract básicas'!$E$52</f>
        <v>53897000</v>
      </c>
      <c r="S15" s="167">
        <f>+R15*Q15</f>
        <v>215588000</v>
      </c>
      <c r="U15" s="34">
        <f>+ROUNDUP('Caract básicas'!J7*ROUNDUP('Caract básicas'!J28,0),0)+ROUNDUP('Caract básicas'!J7/2,0)</f>
        <v>4</v>
      </c>
      <c r="V15" s="167">
        <f>+'Caract básicas'!$E$52</f>
        <v>53897000</v>
      </c>
      <c r="W15" s="167">
        <f>+V15*U15</f>
        <v>215588000</v>
      </c>
      <c r="Y15" s="34">
        <f>+ROUNDUP('Caract básicas'!K7*ROUNDUP('Caract básicas'!K28,0),0)+ROUNDUP('Caract básicas'!K7/2,0)</f>
        <v>4</v>
      </c>
      <c r="Z15" s="167">
        <f>+'Caract básicas'!$E$52</f>
        <v>53897000</v>
      </c>
      <c r="AA15" s="167">
        <f>+Z15*Y15</f>
        <v>215588000</v>
      </c>
      <c r="AC15" s="34">
        <f>+ROUNDUP('Caract básicas'!L7*ROUNDUP('Caract básicas'!L28,0),0)+ROUNDUP('Caract básicas'!L7/2,0)</f>
        <v>4</v>
      </c>
      <c r="AD15" s="167">
        <f>+'Caract básicas'!$E$52</f>
        <v>53897000</v>
      </c>
      <c r="AE15" s="167">
        <f>+AD15*AC15</f>
        <v>215588000</v>
      </c>
      <c r="AG15" s="34">
        <f>+ROUNDUP('Caract básicas'!M7*ROUNDUP('Caract básicas'!M28,0),0)+ROUNDUP('Caract básicas'!M7/2,0)</f>
        <v>4</v>
      </c>
      <c r="AH15" s="167">
        <f>+'Caract básicas'!$E$52</f>
        <v>53897000</v>
      </c>
      <c r="AI15" s="167">
        <f>+AH15*AG15</f>
        <v>215588000</v>
      </c>
      <c r="AK15" s="34">
        <f>+ROUNDUP('Caract básicas'!N7*ROUNDUP('Caract básicas'!N28,0),0)+ROUNDUP('Caract básicas'!N7/2,0)</f>
        <v>4</v>
      </c>
      <c r="AL15" s="167">
        <f>+'Caract básicas'!$E$52</f>
        <v>53897000</v>
      </c>
      <c r="AM15" s="167">
        <f>+AL15*AK15</f>
        <v>215588000</v>
      </c>
    </row>
    <row r="16" spans="1:39" x14ac:dyDescent="0.25">
      <c r="C16" s="208"/>
      <c r="D16" s="24" t="str">
        <f>+'Caract básicas'!C53</f>
        <v>Agentes de estación</v>
      </c>
      <c r="E16" s="34">
        <f>+ROUNDUP(2*'Caract básicas'!F8*ROUNDUP('Caract básicas'!F28,0),0)+ ROUNDUP(('Caract básicas'!F8/2),0)</f>
        <v>13</v>
      </c>
      <c r="F16" s="167">
        <f>+'Caract básicas'!$E$53</f>
        <v>20403000</v>
      </c>
      <c r="G16" s="167">
        <f>+F16*E16</f>
        <v>265239000</v>
      </c>
      <c r="I16" s="34">
        <f>+ROUNDUP(2*'Caract básicas'!G8*ROUNDUP('Caract básicas'!G28,0),0)+ ROUNDUP(('Caract básicas'!G8/2),0)</f>
        <v>13</v>
      </c>
      <c r="J16" s="167">
        <f>+'Caract básicas'!$E$53</f>
        <v>20403000</v>
      </c>
      <c r="K16" s="167">
        <f>+J16*I16</f>
        <v>265239000</v>
      </c>
      <c r="M16" s="34">
        <f>+ROUNDUP(2*'Caract básicas'!H8*ROUNDUP('Caract básicas'!H28,0),0)+ ROUNDUP(('Caract básicas'!H8/2),0)</f>
        <v>13</v>
      </c>
      <c r="N16" s="167">
        <f>+'Caract básicas'!$E$53</f>
        <v>20403000</v>
      </c>
      <c r="O16" s="167">
        <f>+N16*M16</f>
        <v>265239000</v>
      </c>
      <c r="Q16" s="34">
        <f>+ROUNDUP(2*'Caract básicas'!I8*ROUNDUP('Caract básicas'!I28,0),0)+ ROUNDUP(('Caract básicas'!I8/2),0)</f>
        <v>13</v>
      </c>
      <c r="R16" s="167">
        <f>+'Caract básicas'!$E$53</f>
        <v>20403000</v>
      </c>
      <c r="S16" s="167">
        <f>+R16*Q16</f>
        <v>265239000</v>
      </c>
      <c r="U16" s="34">
        <f>+ROUNDUP(2*'Caract básicas'!J8*ROUNDUP('Caract básicas'!J28,0),0)+ ROUNDUP(('Caract básicas'!J8/2),0)</f>
        <v>13</v>
      </c>
      <c r="V16" s="167">
        <f>+'Caract básicas'!$E$53</f>
        <v>20403000</v>
      </c>
      <c r="W16" s="167">
        <f>+V16*U16</f>
        <v>265239000</v>
      </c>
      <c r="Y16" s="34">
        <f>+ROUNDUP(2*'Caract básicas'!K8*ROUNDUP('Caract básicas'!K28,0),0)+ ROUNDUP(('Caract básicas'!K8/2),0)</f>
        <v>13</v>
      </c>
      <c r="Z16" s="167">
        <f>+'Caract básicas'!$E$53</f>
        <v>20403000</v>
      </c>
      <c r="AA16" s="167">
        <f>+Z16*Y16</f>
        <v>265239000</v>
      </c>
      <c r="AC16" s="34">
        <f>+ROUNDUP(2*'Caract básicas'!L8*ROUNDUP('Caract básicas'!L28,0),0)+ ROUNDUP(('Caract básicas'!L8/2),0)</f>
        <v>13</v>
      </c>
      <c r="AD16" s="167">
        <f>+'Caract básicas'!$E$53</f>
        <v>20403000</v>
      </c>
      <c r="AE16" s="167">
        <f>+AD16*AC16</f>
        <v>265239000</v>
      </c>
      <c r="AG16" s="34">
        <f>+ROUNDUP(2*'Caract básicas'!M8*ROUNDUP('Caract básicas'!M28,0),0)+ ROUNDUP(('Caract básicas'!M8/2),0)</f>
        <v>13</v>
      </c>
      <c r="AH16" s="167">
        <f>+'Caract básicas'!$E$53</f>
        <v>20403000</v>
      </c>
      <c r="AI16" s="167">
        <f>+AH16*AG16</f>
        <v>265239000</v>
      </c>
      <c r="AK16" s="34">
        <f>+ROUNDUP(2*'Caract básicas'!N8*ROUNDUP('Caract básicas'!N28,0),0)+ ROUNDUP(('Caract básicas'!N8/2),0)</f>
        <v>13</v>
      </c>
      <c r="AL16" s="167">
        <f>+'Caract básicas'!$E$53</f>
        <v>20403000</v>
      </c>
      <c r="AM16" s="167">
        <f>+AL16*AK16</f>
        <v>265239000</v>
      </c>
    </row>
    <row r="17" spans="3:41" x14ac:dyDescent="0.25">
      <c r="C17" s="208"/>
      <c r="D17" s="26" t="s">
        <v>65</v>
      </c>
      <c r="E17" s="35">
        <f>+SUM(E12:E16)</f>
        <v>28</v>
      </c>
      <c r="F17" s="76"/>
      <c r="G17" s="85">
        <f>+SUM(G12:G16)</f>
        <v>1429920000</v>
      </c>
      <c r="I17" s="35">
        <f>+SUM(I12:I16)</f>
        <v>28</v>
      </c>
      <c r="J17" s="76"/>
      <c r="K17" s="85">
        <f>+SUM(K12:K16)</f>
        <v>1429920000</v>
      </c>
      <c r="M17" s="35">
        <f>+SUM(M12:M16)</f>
        <v>28</v>
      </c>
      <c r="N17" s="76"/>
      <c r="O17" s="85">
        <f>+SUM(O12:O16)</f>
        <v>1429920000</v>
      </c>
      <c r="Q17" s="35">
        <f>+SUM(Q12:Q16)</f>
        <v>28</v>
      </c>
      <c r="R17" s="76"/>
      <c r="S17" s="85">
        <f>+SUM(S12:S16)</f>
        <v>1429920000</v>
      </c>
      <c r="U17" s="35">
        <f>+SUM(U12:U16)</f>
        <v>28</v>
      </c>
      <c r="V17" s="76"/>
      <c r="W17" s="85">
        <f>+SUM(W12:W16)</f>
        <v>1429920000</v>
      </c>
      <c r="Y17" s="35">
        <f>+SUM(Y12:Y16)</f>
        <v>28</v>
      </c>
      <c r="Z17" s="76"/>
      <c r="AA17" s="85">
        <f>+SUM(AA12:AA16)</f>
        <v>1429920000</v>
      </c>
      <c r="AC17" s="35">
        <f>+SUM(AC12:AC16)</f>
        <v>28</v>
      </c>
      <c r="AD17" s="76"/>
      <c r="AE17" s="85">
        <f>+SUM(AE12:AE16)</f>
        <v>1429920000</v>
      </c>
      <c r="AG17" s="35">
        <f>+SUM(AG12:AG16)</f>
        <v>28</v>
      </c>
      <c r="AH17" s="76"/>
      <c r="AI17" s="85">
        <f>+SUM(AI12:AI16)</f>
        <v>1429920000</v>
      </c>
      <c r="AK17" s="35">
        <f>+SUM(AK12:AK16)</f>
        <v>28</v>
      </c>
      <c r="AL17" s="76"/>
      <c r="AM17" s="85">
        <f>+SUM(AM12:AM16)</f>
        <v>1429920000</v>
      </c>
    </row>
    <row r="18" spans="3:41" s="23" customFormat="1" x14ac:dyDescent="0.25">
      <c r="C18" s="14"/>
      <c r="D18" s="21"/>
      <c r="E18" s="36"/>
      <c r="F18" s="22"/>
      <c r="I18" s="36"/>
      <c r="J18" s="22"/>
      <c r="M18" s="36"/>
      <c r="N18" s="22"/>
      <c r="Q18" s="36"/>
      <c r="R18" s="22"/>
      <c r="U18" s="36"/>
      <c r="V18" s="22"/>
      <c r="Y18" s="36"/>
      <c r="Z18" s="22"/>
      <c r="AC18" s="36"/>
      <c r="AD18" s="22"/>
      <c r="AG18" s="36"/>
      <c r="AH18" s="22"/>
      <c r="AK18" s="36"/>
      <c r="AL18" s="22"/>
      <c r="AO18" s="15"/>
    </row>
    <row r="19" spans="3:41" x14ac:dyDescent="0.25">
      <c r="E19" s="28"/>
      <c r="F19" s="32" t="s">
        <v>103</v>
      </c>
      <c r="G19" s="169" t="s">
        <v>200</v>
      </c>
      <c r="I19" s="28"/>
      <c r="J19" s="32" t="s">
        <v>103</v>
      </c>
      <c r="K19" s="169" t="s">
        <v>200</v>
      </c>
      <c r="M19" s="28"/>
      <c r="N19" s="32" t="s">
        <v>103</v>
      </c>
      <c r="O19" s="169" t="s">
        <v>200</v>
      </c>
      <c r="Q19" s="28"/>
      <c r="R19" s="32" t="s">
        <v>103</v>
      </c>
      <c r="S19" s="169" t="s">
        <v>200</v>
      </c>
      <c r="U19" s="28"/>
      <c r="V19" s="32" t="s">
        <v>103</v>
      </c>
      <c r="W19" s="169" t="s">
        <v>200</v>
      </c>
      <c r="Y19" s="28"/>
      <c r="Z19" s="32" t="s">
        <v>103</v>
      </c>
      <c r="AA19" s="169" t="s">
        <v>200</v>
      </c>
      <c r="AC19" s="28"/>
      <c r="AD19" s="32" t="s">
        <v>103</v>
      </c>
      <c r="AE19" s="169" t="s">
        <v>200</v>
      </c>
      <c r="AG19" s="28"/>
      <c r="AH19" s="32" t="s">
        <v>103</v>
      </c>
      <c r="AI19" s="169" t="s">
        <v>200</v>
      </c>
      <c r="AK19" s="28"/>
      <c r="AL19" s="32" t="s">
        <v>103</v>
      </c>
      <c r="AM19" s="169" t="s">
        <v>200</v>
      </c>
    </row>
    <row r="20" spans="3:41" x14ac:dyDescent="0.25">
      <c r="C20" s="208" t="s">
        <v>66</v>
      </c>
      <c r="D20" s="25" t="s">
        <v>67</v>
      </c>
      <c r="E20" s="45"/>
      <c r="F20" s="33">
        <v>227080</v>
      </c>
      <c r="G20" s="167">
        <f>+ROUND(F20*$B$1,-3)</f>
        <v>980005000</v>
      </c>
      <c r="I20" s="45"/>
      <c r="J20" s="33">
        <v>220360</v>
      </c>
      <c r="K20" s="167">
        <f>+ROUND(J20*$B$1,-3)</f>
        <v>951003000</v>
      </c>
      <c r="M20" s="45"/>
      <c r="N20" s="33">
        <v>223720</v>
      </c>
      <c r="O20" s="167">
        <f>+ROUND(N20*$B$1,-3)</f>
        <v>965504000</v>
      </c>
      <c r="Q20" s="45"/>
      <c r="R20" s="33">
        <v>217000</v>
      </c>
      <c r="S20" s="167">
        <f>+ROUND(R20*$B$1,-3)</f>
        <v>936503000</v>
      </c>
      <c r="U20" s="45"/>
      <c r="V20" s="33">
        <v>213640</v>
      </c>
      <c r="W20" s="167">
        <f>+ROUND(V20*$B$1,-3)</f>
        <v>922002000</v>
      </c>
      <c r="Y20" s="45"/>
      <c r="Z20" s="33">
        <v>220360</v>
      </c>
      <c r="AA20" s="167">
        <f>+ROUND(Z20*$B$1,-3)</f>
        <v>951003000</v>
      </c>
      <c r="AC20" s="45"/>
      <c r="AD20" s="33">
        <v>227080</v>
      </c>
      <c r="AE20" s="167">
        <f>+ROUND(AD20*$B$1,-3)</f>
        <v>980005000</v>
      </c>
      <c r="AG20" s="45"/>
      <c r="AH20" s="33">
        <v>233800</v>
      </c>
      <c r="AI20" s="167">
        <f>+ROUND(AH20*$B$1,-3)</f>
        <v>1009006000</v>
      </c>
      <c r="AK20" s="45"/>
      <c r="AL20" s="33">
        <v>240520</v>
      </c>
      <c r="AM20" s="167">
        <f>+ROUND(AL20*$B$1,-3)</f>
        <v>1038007000</v>
      </c>
    </row>
    <row r="21" spans="3:41" x14ac:dyDescent="0.25">
      <c r="C21" s="208"/>
      <c r="D21" s="25" t="s">
        <v>68</v>
      </c>
      <c r="E21" s="28"/>
      <c r="F21" s="33">
        <v>37320</v>
      </c>
      <c r="G21" s="167">
        <f>+ROUND(F21*$B$1,-3)</f>
        <v>161061000</v>
      </c>
      <c r="I21" s="28"/>
      <c r="J21" s="33">
        <v>36080</v>
      </c>
      <c r="K21" s="167">
        <f>+ROUND(J21*$B$1,-3)</f>
        <v>155710000</v>
      </c>
      <c r="M21" s="28"/>
      <c r="N21" s="33">
        <v>38146.666666666664</v>
      </c>
      <c r="O21" s="167">
        <f>+ROUND(N21*$B$1,-3)</f>
        <v>164629000</v>
      </c>
      <c r="Q21" s="28"/>
      <c r="R21" s="33">
        <v>19546.666666666668</v>
      </c>
      <c r="S21" s="167">
        <f>+ROUND(R21*$B$1,-3)</f>
        <v>84357000</v>
      </c>
      <c r="U21" s="28"/>
      <c r="V21" s="33">
        <v>18306.666666666668</v>
      </c>
      <c r="W21" s="167">
        <f>+ROUND(V21*$B$1,-3)</f>
        <v>79006000</v>
      </c>
      <c r="Y21" s="28"/>
      <c r="Z21" s="33">
        <v>20373.333333333336</v>
      </c>
      <c r="AA21" s="167">
        <f>+ROUND(Z21*$B$1,-3)</f>
        <v>87925000</v>
      </c>
      <c r="AC21" s="28"/>
      <c r="AD21" s="33">
        <v>20787</v>
      </c>
      <c r="AE21" s="167">
        <f>+ROUND(AD21*$B$1,-3)</f>
        <v>89710000</v>
      </c>
      <c r="AG21" s="28"/>
      <c r="AH21" s="33">
        <v>23680</v>
      </c>
      <c r="AI21" s="167">
        <f>+ROUND(AH21*$B$1,-3)</f>
        <v>102195000</v>
      </c>
      <c r="AK21" s="28"/>
      <c r="AL21" s="33">
        <v>24920</v>
      </c>
      <c r="AM21" s="167">
        <f>+ROUND(AL21*$B$1,-3)</f>
        <v>107547000</v>
      </c>
    </row>
    <row r="22" spans="3:41" ht="30" customHeight="1" x14ac:dyDescent="0.25">
      <c r="C22" s="208"/>
      <c r="D22" s="25" t="s">
        <v>186</v>
      </c>
      <c r="E22" s="28"/>
      <c r="F22" s="210">
        <v>120267.76666666666</v>
      </c>
      <c r="G22" s="215">
        <f>+ROUND(F22*$B$1,-3)</f>
        <v>519037000</v>
      </c>
      <c r="I22" s="28"/>
      <c r="J22" s="210">
        <v>111865.96666666666</v>
      </c>
      <c r="K22" s="215">
        <f>+ROUND(J22*$B$1,-3)</f>
        <v>482778000</v>
      </c>
      <c r="M22" s="28"/>
      <c r="N22" s="210">
        <v>117848.13333333333</v>
      </c>
      <c r="O22" s="215">
        <f>+ROUND(N22*$B$1,-3)</f>
        <v>508595000</v>
      </c>
      <c r="Q22" s="28"/>
      <c r="R22" s="210">
        <v>88071.133333333331</v>
      </c>
      <c r="S22" s="215">
        <f>+ROUND(R22*$B$1,-3)</f>
        <v>380087000</v>
      </c>
      <c r="U22" s="28"/>
      <c r="V22" s="210">
        <v>83106.833333333328</v>
      </c>
      <c r="W22" s="215">
        <f>+ROUND(V22*$B$1,-3)</f>
        <v>358662000</v>
      </c>
      <c r="Y22" s="28"/>
      <c r="Z22" s="210">
        <v>92526.5</v>
      </c>
      <c r="AA22" s="215">
        <f>+ROUND(Z22*$B$1,-3)</f>
        <v>399315000</v>
      </c>
      <c r="AC22" s="28"/>
      <c r="AD22" s="210">
        <v>99910</v>
      </c>
      <c r="AE22" s="215">
        <f>+ROUND(AD22*$B$1,-3)</f>
        <v>431180000</v>
      </c>
      <c r="AG22" s="28"/>
      <c r="AH22" s="210">
        <v>110348</v>
      </c>
      <c r="AI22" s="215">
        <f>+ROUND(AH22*$B$1,-3)</f>
        <v>476227000</v>
      </c>
      <c r="AK22" s="28"/>
      <c r="AL22" s="210">
        <v>118749.77</v>
      </c>
      <c r="AM22" s="215">
        <f>+ROUND(AL22*$B$1,-3)</f>
        <v>512486000</v>
      </c>
    </row>
    <row r="23" spans="3:41" x14ac:dyDescent="0.25">
      <c r="C23" s="208"/>
      <c r="D23" s="25" t="s">
        <v>69</v>
      </c>
      <c r="E23" s="28"/>
      <c r="F23" s="211"/>
      <c r="G23" s="216"/>
      <c r="I23" s="28"/>
      <c r="J23" s="211"/>
      <c r="K23" s="216"/>
      <c r="M23" s="28"/>
      <c r="N23" s="211"/>
      <c r="O23" s="216"/>
      <c r="Q23" s="28"/>
      <c r="R23" s="211"/>
      <c r="S23" s="216"/>
      <c r="U23" s="28"/>
      <c r="V23" s="211"/>
      <c r="W23" s="216"/>
      <c r="Y23" s="28"/>
      <c r="Z23" s="211"/>
      <c r="AA23" s="216"/>
      <c r="AC23" s="28"/>
      <c r="AD23" s="211"/>
      <c r="AE23" s="216"/>
      <c r="AG23" s="28"/>
      <c r="AH23" s="211"/>
      <c r="AI23" s="216"/>
      <c r="AK23" s="28"/>
      <c r="AL23" s="211"/>
      <c r="AM23" s="216"/>
    </row>
    <row r="24" spans="3:41" x14ac:dyDescent="0.25">
      <c r="C24" s="208"/>
      <c r="D24" s="26" t="s">
        <v>70</v>
      </c>
      <c r="E24" s="35"/>
      <c r="F24" s="20"/>
      <c r="G24" s="85">
        <f>+SUM(G20:G23)</f>
        <v>1660103000</v>
      </c>
      <c r="I24" s="35"/>
      <c r="J24" s="20"/>
      <c r="K24" s="85">
        <f>+SUM(K20:K23)</f>
        <v>1589491000</v>
      </c>
      <c r="M24" s="35"/>
      <c r="N24" s="20"/>
      <c r="O24" s="85">
        <f>+SUM(O20:O23)</f>
        <v>1638728000</v>
      </c>
      <c r="Q24" s="35"/>
      <c r="R24" s="20"/>
      <c r="S24" s="85">
        <f>+SUM(S20:S23)</f>
        <v>1400947000</v>
      </c>
      <c r="U24" s="35"/>
      <c r="V24" s="20"/>
      <c r="W24" s="85">
        <f>+SUM(W20:W23)</f>
        <v>1359670000</v>
      </c>
      <c r="Y24" s="35"/>
      <c r="Z24" s="20"/>
      <c r="AA24" s="85">
        <f>+SUM(AA20:AA23)</f>
        <v>1438243000</v>
      </c>
      <c r="AC24" s="35"/>
      <c r="AD24" s="20"/>
      <c r="AE24" s="85">
        <f>+SUM(AE20:AE23)</f>
        <v>1500895000</v>
      </c>
      <c r="AG24" s="35"/>
      <c r="AH24" s="20"/>
      <c r="AI24" s="85">
        <f>+SUM(AI20:AI23)</f>
        <v>1587428000</v>
      </c>
      <c r="AK24" s="35"/>
      <c r="AL24" s="20"/>
      <c r="AM24" s="85">
        <f>+SUM(AM20:AM23)</f>
        <v>1658040000</v>
      </c>
    </row>
    <row r="25" spans="3:41" x14ac:dyDescent="0.25">
      <c r="E25" s="28"/>
      <c r="F25" s="29"/>
      <c r="G25" s="30"/>
      <c r="I25" s="28"/>
      <c r="J25" s="29"/>
      <c r="K25" s="30"/>
      <c r="M25" s="28"/>
      <c r="N25" s="29"/>
      <c r="O25" s="30"/>
      <c r="Q25" s="28"/>
      <c r="R25" s="29"/>
      <c r="S25" s="30"/>
      <c r="U25" s="28"/>
      <c r="V25" s="29"/>
      <c r="W25" s="30"/>
      <c r="Y25" s="28"/>
      <c r="Z25" s="29"/>
      <c r="AA25" s="30"/>
      <c r="AC25" s="28"/>
      <c r="AD25" s="29"/>
      <c r="AE25" s="30"/>
      <c r="AG25" s="28"/>
      <c r="AH25" s="29"/>
      <c r="AI25" s="30"/>
      <c r="AK25" s="28"/>
      <c r="AL25" s="29"/>
      <c r="AM25" s="30"/>
    </row>
    <row r="26" spans="3:41" ht="45" x14ac:dyDescent="0.25">
      <c r="C26" s="208" t="s">
        <v>71</v>
      </c>
      <c r="D26" s="24" t="s">
        <v>54</v>
      </c>
      <c r="E26" s="46"/>
      <c r="F26" s="76" t="s">
        <v>177</v>
      </c>
      <c r="G26" s="37" t="s">
        <v>178</v>
      </c>
      <c r="I26" s="46"/>
      <c r="J26" s="76" t="s">
        <v>177</v>
      </c>
      <c r="K26" s="37" t="s">
        <v>178</v>
      </c>
      <c r="M26" s="46"/>
      <c r="N26" s="76" t="s">
        <v>177</v>
      </c>
      <c r="O26" s="37" t="s">
        <v>178</v>
      </c>
      <c r="Q26" s="46"/>
      <c r="R26" s="76" t="s">
        <v>177</v>
      </c>
      <c r="S26" s="37" t="s">
        <v>178</v>
      </c>
      <c r="U26" s="46"/>
      <c r="V26" s="76" t="s">
        <v>177</v>
      </c>
      <c r="W26" s="37" t="s">
        <v>178</v>
      </c>
      <c r="Y26" s="46"/>
      <c r="Z26" s="76" t="s">
        <v>177</v>
      </c>
      <c r="AA26" s="37" t="s">
        <v>178</v>
      </c>
      <c r="AC26" s="46"/>
      <c r="AD26" s="76" t="s">
        <v>177</v>
      </c>
      <c r="AE26" s="37" t="s">
        <v>178</v>
      </c>
      <c r="AG26" s="46"/>
      <c r="AH26" s="76" t="s">
        <v>177</v>
      </c>
      <c r="AI26" s="37" t="s">
        <v>178</v>
      </c>
      <c r="AK26" s="46"/>
      <c r="AL26" s="76" t="s">
        <v>177</v>
      </c>
      <c r="AM26" s="37" t="s">
        <v>178</v>
      </c>
    </row>
    <row r="27" spans="3:41" x14ac:dyDescent="0.25">
      <c r="C27" s="208"/>
      <c r="D27" s="42" t="s">
        <v>55</v>
      </c>
      <c r="E27" s="46"/>
      <c r="F27" s="77">
        <v>0.1</v>
      </c>
      <c r="G27" s="44">
        <v>0.55000000000000004</v>
      </c>
      <c r="I27" s="46"/>
      <c r="J27" s="77">
        <v>0.1</v>
      </c>
      <c r="K27" s="44">
        <v>0.55000000000000004</v>
      </c>
      <c r="M27" s="46"/>
      <c r="N27" s="77">
        <v>0.1</v>
      </c>
      <c r="O27" s="44">
        <v>0.55000000000000004</v>
      </c>
      <c r="Q27" s="46"/>
      <c r="R27" s="77">
        <v>0.1</v>
      </c>
      <c r="S27" s="44">
        <v>0.55000000000000004</v>
      </c>
      <c r="U27" s="46"/>
      <c r="V27" s="77">
        <v>0.1</v>
      </c>
      <c r="W27" s="44">
        <v>0.55000000000000004</v>
      </c>
      <c r="Y27" s="46"/>
      <c r="Z27" s="77">
        <v>0.1</v>
      </c>
      <c r="AA27" s="44">
        <v>0.55000000000000004</v>
      </c>
      <c r="AC27" s="46"/>
      <c r="AD27" s="77">
        <v>0.1</v>
      </c>
      <c r="AE27" s="44">
        <v>0.55000000000000004</v>
      </c>
      <c r="AG27" s="46"/>
      <c r="AH27" s="77">
        <v>0.1</v>
      </c>
      <c r="AI27" s="44">
        <v>0.55000000000000004</v>
      </c>
      <c r="AK27" s="46"/>
      <c r="AL27" s="77">
        <v>0.1</v>
      </c>
      <c r="AM27" s="44">
        <v>0.55000000000000004</v>
      </c>
    </row>
    <row r="28" spans="3:41" x14ac:dyDescent="0.25">
      <c r="C28" s="208"/>
      <c r="D28" s="42" t="s">
        <v>56</v>
      </c>
      <c r="E28" s="46"/>
      <c r="F28" s="77">
        <v>0.2</v>
      </c>
      <c r="G28" s="44">
        <v>0.65</v>
      </c>
      <c r="I28" s="46"/>
      <c r="J28" s="77">
        <v>0.2</v>
      </c>
      <c r="K28" s="44">
        <v>0.65</v>
      </c>
      <c r="M28" s="46"/>
      <c r="N28" s="77">
        <v>0.2</v>
      </c>
      <c r="O28" s="44">
        <v>0.65</v>
      </c>
      <c r="Q28" s="46"/>
      <c r="R28" s="77">
        <v>0.2</v>
      </c>
      <c r="S28" s="44">
        <v>0.65</v>
      </c>
      <c r="U28" s="46"/>
      <c r="V28" s="77">
        <v>0.2</v>
      </c>
      <c r="W28" s="44">
        <v>0.65</v>
      </c>
      <c r="Y28" s="46"/>
      <c r="Z28" s="77">
        <v>0.2</v>
      </c>
      <c r="AA28" s="44">
        <v>0.65</v>
      </c>
      <c r="AC28" s="46"/>
      <c r="AD28" s="77">
        <v>0.2</v>
      </c>
      <c r="AE28" s="44">
        <v>0.65</v>
      </c>
      <c r="AG28" s="46"/>
      <c r="AH28" s="77">
        <v>0.2</v>
      </c>
      <c r="AI28" s="44">
        <v>0.65</v>
      </c>
      <c r="AK28" s="46"/>
      <c r="AL28" s="77">
        <v>0.2</v>
      </c>
      <c r="AM28" s="44">
        <v>0.65</v>
      </c>
    </row>
    <row r="29" spans="3:41" x14ac:dyDescent="0.25">
      <c r="C29" s="208"/>
      <c r="D29" s="42" t="s">
        <v>57</v>
      </c>
      <c r="E29" s="46"/>
      <c r="F29" s="77">
        <v>0.3</v>
      </c>
      <c r="G29" s="44">
        <v>0.95</v>
      </c>
      <c r="I29" s="46"/>
      <c r="J29" s="77">
        <v>0.3</v>
      </c>
      <c r="K29" s="44">
        <v>0.95</v>
      </c>
      <c r="M29" s="46"/>
      <c r="N29" s="77">
        <v>0.3</v>
      </c>
      <c r="O29" s="44">
        <v>0.95</v>
      </c>
      <c r="Q29" s="46"/>
      <c r="R29" s="77">
        <v>0.3</v>
      </c>
      <c r="S29" s="44">
        <v>0.95</v>
      </c>
      <c r="U29" s="46"/>
      <c r="V29" s="77">
        <v>0.3</v>
      </c>
      <c r="W29" s="44">
        <v>0.95</v>
      </c>
      <c r="Y29" s="46"/>
      <c r="Z29" s="77">
        <v>0.3</v>
      </c>
      <c r="AA29" s="44">
        <v>0.95</v>
      </c>
      <c r="AC29" s="46"/>
      <c r="AD29" s="77">
        <v>0.3</v>
      </c>
      <c r="AE29" s="44">
        <v>0.95</v>
      </c>
      <c r="AG29" s="46"/>
      <c r="AH29" s="77">
        <v>0.3</v>
      </c>
      <c r="AI29" s="44">
        <v>0.95</v>
      </c>
      <c r="AK29" s="46"/>
      <c r="AL29" s="77">
        <v>0.3</v>
      </c>
      <c r="AM29" s="44">
        <v>0.95</v>
      </c>
    </row>
    <row r="30" spans="3:41" x14ac:dyDescent="0.25">
      <c r="C30" s="208"/>
      <c r="D30" s="42" t="s">
        <v>58</v>
      </c>
      <c r="E30" s="46"/>
      <c r="F30" s="77">
        <v>0.1</v>
      </c>
      <c r="G30" s="44">
        <v>0.75</v>
      </c>
      <c r="I30" s="46"/>
      <c r="J30" s="77">
        <v>0.1</v>
      </c>
      <c r="K30" s="44">
        <v>0.75</v>
      </c>
      <c r="M30" s="46"/>
      <c r="N30" s="77">
        <v>0.1</v>
      </c>
      <c r="O30" s="44">
        <v>0.75</v>
      </c>
      <c r="Q30" s="46"/>
      <c r="R30" s="77">
        <v>0.1</v>
      </c>
      <c r="S30" s="44">
        <v>0.75</v>
      </c>
      <c r="U30" s="46"/>
      <c r="V30" s="77">
        <v>0.1</v>
      </c>
      <c r="W30" s="44">
        <v>0.75</v>
      </c>
      <c r="Y30" s="46"/>
      <c r="Z30" s="77">
        <v>0.1</v>
      </c>
      <c r="AA30" s="44">
        <v>0.75</v>
      </c>
      <c r="AC30" s="46"/>
      <c r="AD30" s="77">
        <v>0.1</v>
      </c>
      <c r="AE30" s="44">
        <v>0.75</v>
      </c>
      <c r="AG30" s="46"/>
      <c r="AH30" s="77">
        <v>0.1</v>
      </c>
      <c r="AI30" s="44">
        <v>0.75</v>
      </c>
      <c r="AK30" s="46"/>
      <c r="AL30" s="77">
        <v>0.1</v>
      </c>
      <c r="AM30" s="44">
        <v>0.75</v>
      </c>
    </row>
    <row r="31" spans="3:41" x14ac:dyDescent="0.25">
      <c r="C31" s="208"/>
      <c r="D31" s="42" t="s">
        <v>59</v>
      </c>
      <c r="E31" s="46"/>
      <c r="F31" s="77">
        <v>0.3</v>
      </c>
      <c r="G31" s="102">
        <v>0.4</v>
      </c>
      <c r="I31" s="46"/>
      <c r="J31" s="77">
        <v>0.3</v>
      </c>
      <c r="K31" s="102">
        <v>0.4</v>
      </c>
      <c r="M31" s="46"/>
      <c r="N31" s="77">
        <v>0.3</v>
      </c>
      <c r="O31" s="102">
        <v>0.4</v>
      </c>
      <c r="Q31" s="46"/>
      <c r="R31" s="77">
        <v>0.3</v>
      </c>
      <c r="S31" s="102">
        <v>0.4</v>
      </c>
      <c r="U31" s="46"/>
      <c r="V31" s="77">
        <v>0.3</v>
      </c>
      <c r="W31" s="102">
        <v>0.4</v>
      </c>
      <c r="Y31" s="46"/>
      <c r="Z31" s="77">
        <v>0.3</v>
      </c>
      <c r="AA31" s="102">
        <v>0.4</v>
      </c>
      <c r="AC31" s="46"/>
      <c r="AD31" s="77">
        <v>0.3</v>
      </c>
      <c r="AE31" s="102">
        <v>0.4</v>
      </c>
      <c r="AG31" s="46"/>
      <c r="AH31" s="77">
        <v>0.3</v>
      </c>
      <c r="AI31" s="102">
        <v>0.4</v>
      </c>
      <c r="AK31" s="46"/>
      <c r="AL31" s="77">
        <v>0.3</v>
      </c>
      <c r="AM31" s="102">
        <v>0.4</v>
      </c>
    </row>
    <row r="32" spans="3:41" s="23" customFormat="1" x14ac:dyDescent="0.25">
      <c r="C32" s="208"/>
      <c r="D32" s="43" t="s">
        <v>179</v>
      </c>
      <c r="E32" s="104">
        <v>400</v>
      </c>
      <c r="F32" s="101"/>
      <c r="I32" s="104">
        <v>350</v>
      </c>
      <c r="J32" s="101"/>
      <c r="M32" s="104">
        <v>400</v>
      </c>
      <c r="N32" s="101"/>
      <c r="Q32" s="104">
        <v>250</v>
      </c>
      <c r="R32" s="101"/>
      <c r="U32" s="104">
        <v>200</v>
      </c>
      <c r="V32" s="101"/>
      <c r="Y32" s="104">
        <v>250</v>
      </c>
      <c r="Z32" s="101"/>
      <c r="AC32" s="104">
        <v>250</v>
      </c>
      <c r="AD32" s="101"/>
      <c r="AG32" s="104">
        <v>300</v>
      </c>
      <c r="AH32" s="101"/>
      <c r="AK32" s="104">
        <v>350</v>
      </c>
      <c r="AL32" s="101"/>
    </row>
    <row r="33" spans="3:39" ht="30" customHeight="1" x14ac:dyDescent="0.25">
      <c r="C33" s="208"/>
      <c r="D33" s="25" t="s">
        <v>183</v>
      </c>
      <c r="E33" s="168">
        <v>1862000</v>
      </c>
      <c r="F33" s="29"/>
      <c r="I33" s="168">
        <v>1629250</v>
      </c>
      <c r="J33" s="29"/>
      <c r="M33" s="168">
        <v>1890000</v>
      </c>
      <c r="N33" s="29"/>
      <c r="Q33" s="168">
        <v>1102500</v>
      </c>
      <c r="R33" s="29"/>
      <c r="U33" s="168">
        <v>854000</v>
      </c>
      <c r="V33" s="29"/>
      <c r="Y33" s="168">
        <v>1102500</v>
      </c>
      <c r="Z33" s="29"/>
      <c r="AC33" s="168">
        <v>1190000</v>
      </c>
      <c r="AD33" s="29"/>
      <c r="AG33" s="168">
        <v>1407000</v>
      </c>
      <c r="AH33" s="29"/>
      <c r="AK33" s="168">
        <v>1666000</v>
      </c>
      <c r="AL33" s="29"/>
    </row>
    <row r="34" spans="3:39" ht="30" customHeight="1" x14ac:dyDescent="0.25">
      <c r="C34" s="208"/>
      <c r="D34" s="25" t="s">
        <v>184</v>
      </c>
      <c r="E34" s="168">
        <f>10*'Caract básicas'!F30*('Caract básicas'!F7+'Caract básicas'!F7+'Caract básicas'!F12)</f>
        <v>140000</v>
      </c>
      <c r="F34" s="29"/>
      <c r="I34" s="168">
        <f>10*'Caract básicas'!G30*('Caract básicas'!G7+'Caract básicas'!G7+'Caract básicas'!G12)</f>
        <v>140000</v>
      </c>
      <c r="J34" s="29"/>
      <c r="M34" s="168">
        <f>10*'Caract básicas'!H30*('Caract básicas'!H7+'Caract básicas'!H7+'Caract básicas'!H12)</f>
        <v>140000</v>
      </c>
      <c r="N34" s="29"/>
      <c r="Q34" s="168">
        <f>10*'Caract básicas'!I30*('Caract básicas'!I7+'Caract básicas'!I7+'Caract básicas'!I12)</f>
        <v>140000</v>
      </c>
      <c r="R34" s="29"/>
      <c r="U34" s="168">
        <f>10*'Caract básicas'!J30*('Caract básicas'!J7+'Caract básicas'!J7+'Caract básicas'!J12)</f>
        <v>140000</v>
      </c>
      <c r="V34" s="29"/>
      <c r="Y34" s="168">
        <f>10*'Caract básicas'!K30*('Caract básicas'!K7+'Caract básicas'!K7+'Caract básicas'!K12)</f>
        <v>140000</v>
      </c>
      <c r="Z34" s="29"/>
      <c r="AC34" s="168">
        <f>10*'Caract básicas'!L30*('Caract básicas'!L7+'Caract básicas'!L7+'Caract básicas'!L12)</f>
        <v>140000</v>
      </c>
      <c r="AD34" s="29"/>
      <c r="AG34" s="168">
        <f>10*'Caract básicas'!M30*('Caract básicas'!M7+'Caract básicas'!M7+'Caract básicas'!M12)</f>
        <v>140000</v>
      </c>
      <c r="AH34" s="29"/>
      <c r="AK34" s="168">
        <f>10*'Caract básicas'!N30*('Caract básicas'!N7+'Caract básicas'!N7+'Caract básicas'!N12)</f>
        <v>140000</v>
      </c>
      <c r="AL34" s="29"/>
    </row>
    <row r="35" spans="3:39" x14ac:dyDescent="0.25">
      <c r="C35" s="208"/>
      <c r="D35" s="25" t="s">
        <v>207</v>
      </c>
      <c r="E35" s="170">
        <f>+'Caract básicas'!F40</f>
        <v>541.46429999999998</v>
      </c>
      <c r="F35" s="29"/>
      <c r="I35" s="170">
        <f>+'Caract básicas'!G40</f>
        <v>541.46429999999998</v>
      </c>
      <c r="J35" s="29"/>
      <c r="M35" s="170">
        <f>+'Caract básicas'!H40</f>
        <v>541.46429999999998</v>
      </c>
      <c r="N35" s="29"/>
      <c r="Q35" s="170">
        <f>+'Caract básicas'!I40</f>
        <v>541.46429999999998</v>
      </c>
      <c r="R35" s="29"/>
      <c r="U35" s="170">
        <f>+'Caract básicas'!J40</f>
        <v>541.46429999999998</v>
      </c>
      <c r="V35" s="29"/>
      <c r="Y35" s="170">
        <f>+'Caract básicas'!K40</f>
        <v>541.46429999999998</v>
      </c>
      <c r="Z35" s="29"/>
      <c r="AC35" s="170">
        <f>+'Caract básicas'!L40</f>
        <v>541.46429999999998</v>
      </c>
      <c r="AD35" s="29"/>
      <c r="AG35" s="170">
        <f>+'Caract básicas'!M40</f>
        <v>541.46429999999998</v>
      </c>
      <c r="AH35" s="29"/>
      <c r="AK35" s="170">
        <f>+'Caract básicas'!N40</f>
        <v>541.46429999999998</v>
      </c>
      <c r="AL35" s="29"/>
    </row>
    <row r="36" spans="3:39" x14ac:dyDescent="0.25">
      <c r="C36" s="208"/>
      <c r="D36" s="26" t="s">
        <v>73</v>
      </c>
      <c r="E36" s="103"/>
      <c r="F36" s="20"/>
      <c r="G36" s="85">
        <f>ROUNDUP(+'Caract básicas'!F40*(E33+E34),-3)</f>
        <v>1084012000</v>
      </c>
      <c r="I36" s="103"/>
      <c r="J36" s="20"/>
      <c r="K36" s="85">
        <f>ROUNDUP(+'Caract básicas'!G40*(I33+I34),-3)</f>
        <v>957986000</v>
      </c>
      <c r="M36" s="103"/>
      <c r="N36" s="20"/>
      <c r="O36" s="85">
        <f>ROUNDUP(+'Caract básicas'!H40*(M33+M34),-3)</f>
        <v>1099173000</v>
      </c>
      <c r="Q36" s="103"/>
      <c r="R36" s="20"/>
      <c r="S36" s="85">
        <f>ROUNDUP(+'Caract básicas'!I40*(Q33+Q34),-3)</f>
        <v>672770000</v>
      </c>
      <c r="U36" s="103"/>
      <c r="V36" s="20"/>
      <c r="W36" s="85">
        <f>ROUNDUP(+'Caract básicas'!J40*(U33+U34),-3)</f>
        <v>538216000</v>
      </c>
      <c r="Y36" s="103"/>
      <c r="Z36" s="20"/>
      <c r="AA36" s="85">
        <f>ROUNDUP(+'Caract básicas'!K40*(Y33+Y34),-3)</f>
        <v>672770000</v>
      </c>
      <c r="AC36" s="103"/>
      <c r="AD36" s="20"/>
      <c r="AE36" s="85">
        <f>ROUNDUP(+'Caract básicas'!L40*(AC33+AC34),-3)</f>
        <v>720148000</v>
      </c>
      <c r="AG36" s="103"/>
      <c r="AH36" s="20"/>
      <c r="AI36" s="85">
        <f>ROUNDUP(+'Caract básicas'!M40*(AG33+AG34),-3)</f>
        <v>837646000</v>
      </c>
      <c r="AK36" s="103"/>
      <c r="AL36" s="20"/>
      <c r="AM36" s="85">
        <f>ROUNDUP(+'Caract básicas'!N40*(AK33+AK34),-3)</f>
        <v>977885000</v>
      </c>
    </row>
    <row r="37" spans="3:39" x14ac:dyDescent="0.25">
      <c r="E37" s="28"/>
      <c r="F37" s="29"/>
      <c r="G37" s="30"/>
      <c r="I37" s="28"/>
      <c r="J37" s="29"/>
      <c r="K37" s="30"/>
      <c r="M37" s="28"/>
      <c r="N37" s="29"/>
      <c r="O37" s="30"/>
      <c r="Q37" s="28"/>
      <c r="R37" s="29"/>
      <c r="S37" s="30"/>
      <c r="U37" s="28"/>
      <c r="V37" s="29"/>
      <c r="W37" s="30"/>
      <c r="Y37" s="28"/>
      <c r="Z37" s="29"/>
      <c r="AA37" s="30"/>
      <c r="AC37" s="28"/>
      <c r="AD37" s="29"/>
      <c r="AE37" s="30"/>
      <c r="AG37" s="28"/>
      <c r="AH37" s="29"/>
      <c r="AI37" s="30"/>
      <c r="AK37" s="28"/>
      <c r="AL37" s="29"/>
      <c r="AM37" s="30"/>
    </row>
    <row r="38" spans="3:39" ht="30" x14ac:dyDescent="0.25">
      <c r="D38" s="105" t="s">
        <v>185</v>
      </c>
      <c r="E38" s="106"/>
      <c r="F38" s="107"/>
      <c r="G38" s="139">
        <f>+G17+G24+G36</f>
        <v>4174035000</v>
      </c>
      <c r="I38" s="106"/>
      <c r="J38" s="107"/>
      <c r="K38" s="139">
        <f>+K17+K24+K36</f>
        <v>3977397000</v>
      </c>
      <c r="M38" s="106"/>
      <c r="N38" s="107"/>
      <c r="O38" s="139">
        <f>+O17+O24+O36</f>
        <v>4167821000</v>
      </c>
      <c r="Q38" s="106"/>
      <c r="R38" s="107"/>
      <c r="S38" s="139">
        <f>+S17+S24+S36</f>
        <v>3503637000</v>
      </c>
      <c r="U38" s="106"/>
      <c r="V38" s="107"/>
      <c r="W38" s="139">
        <f>+W17+W24+W36</f>
        <v>3327806000</v>
      </c>
      <c r="Y38" s="106"/>
      <c r="Z38" s="107"/>
      <c r="AA38" s="139">
        <f>+AA17+AA24+AA36</f>
        <v>3540933000</v>
      </c>
      <c r="AC38" s="106"/>
      <c r="AD38" s="107"/>
      <c r="AE38" s="139">
        <f>+AE17+AE24+AE36</f>
        <v>3650963000</v>
      </c>
      <c r="AG38" s="106"/>
      <c r="AH38" s="107"/>
      <c r="AI38" s="139">
        <f>+AI17+AI24+AI36</f>
        <v>3854994000</v>
      </c>
      <c r="AK38" s="106"/>
      <c r="AL38" s="107"/>
      <c r="AM38" s="139">
        <f>+AM17+AM24+AM36</f>
        <v>4065845000</v>
      </c>
    </row>
    <row r="39" spans="3:39" x14ac:dyDescent="0.25">
      <c r="E39" s="28"/>
      <c r="F39" s="29"/>
      <c r="G39" s="30"/>
      <c r="I39" s="28"/>
      <c r="J39" s="29"/>
      <c r="K39" s="30"/>
      <c r="M39" s="28"/>
      <c r="N39" s="29"/>
      <c r="O39" s="30"/>
      <c r="Q39" s="28"/>
      <c r="R39" s="29"/>
      <c r="S39" s="30"/>
      <c r="U39" s="28"/>
      <c r="V39" s="29"/>
      <c r="W39" s="30"/>
      <c r="Y39" s="28"/>
      <c r="Z39" s="29"/>
      <c r="AA39" s="30"/>
      <c r="AC39" s="28"/>
      <c r="AD39" s="29"/>
      <c r="AE39" s="30"/>
      <c r="AG39" s="28"/>
      <c r="AH39" s="29"/>
      <c r="AI39" s="30"/>
      <c r="AK39" s="28"/>
      <c r="AL39" s="29"/>
      <c r="AM39" s="30"/>
    </row>
    <row r="40" spans="3:39" x14ac:dyDescent="0.25">
      <c r="E40" s="31"/>
      <c r="F40" s="142"/>
      <c r="G40" s="143"/>
      <c r="I40" s="31"/>
      <c r="J40" s="142"/>
      <c r="K40" s="143"/>
      <c r="M40" s="31"/>
      <c r="N40" s="142"/>
      <c r="O40" s="143"/>
      <c r="Q40" s="31"/>
      <c r="R40" s="142"/>
      <c r="S40" s="143"/>
      <c r="U40" s="31"/>
      <c r="V40" s="142"/>
      <c r="W40" s="143"/>
      <c r="Y40" s="31"/>
      <c r="Z40" s="142"/>
      <c r="AA40" s="143"/>
      <c r="AC40" s="31"/>
      <c r="AD40" s="142"/>
      <c r="AE40" s="143"/>
      <c r="AG40" s="31"/>
      <c r="AH40" s="142"/>
      <c r="AI40" s="143"/>
      <c r="AK40" s="31"/>
      <c r="AL40" s="142"/>
      <c r="AM40" s="143"/>
    </row>
    <row r="41" spans="3:39" ht="14.45" customHeight="1" x14ac:dyDescent="0.25">
      <c r="C41" s="208" t="s">
        <v>87</v>
      </c>
      <c r="D41" s="24" t="str">
        <f>+'Caract básicas'!C54</f>
        <v>Gerente</v>
      </c>
      <c r="E41" s="34">
        <v>1</v>
      </c>
      <c r="F41" s="141"/>
      <c r="G41" s="217" t="s">
        <v>202</v>
      </c>
      <c r="I41" s="34">
        <v>1</v>
      </c>
      <c r="J41" s="141"/>
      <c r="K41" s="217" t="s">
        <v>202</v>
      </c>
      <c r="M41" s="34">
        <v>1</v>
      </c>
      <c r="N41" s="141"/>
      <c r="O41" s="217" t="s">
        <v>202</v>
      </c>
      <c r="Q41" s="34">
        <v>1</v>
      </c>
      <c r="R41" s="141"/>
      <c r="S41" s="217" t="s">
        <v>202</v>
      </c>
      <c r="U41" s="34">
        <v>1</v>
      </c>
      <c r="V41" s="141"/>
      <c r="W41" s="217" t="s">
        <v>202</v>
      </c>
      <c r="Y41" s="34">
        <v>1</v>
      </c>
      <c r="Z41" s="141"/>
      <c r="AA41" s="217" t="s">
        <v>202</v>
      </c>
      <c r="AC41" s="34">
        <v>1</v>
      </c>
      <c r="AD41" s="141"/>
      <c r="AE41" s="217" t="s">
        <v>202</v>
      </c>
      <c r="AG41" s="34">
        <v>1</v>
      </c>
      <c r="AH41" s="141"/>
      <c r="AI41" s="217" t="s">
        <v>202</v>
      </c>
      <c r="AK41" s="34">
        <v>1</v>
      </c>
      <c r="AL41" s="141"/>
      <c r="AM41" s="217" t="s">
        <v>202</v>
      </c>
    </row>
    <row r="42" spans="3:39" x14ac:dyDescent="0.25">
      <c r="C42" s="208"/>
      <c r="D42" s="24" t="str">
        <f>+'Caract básicas'!C55</f>
        <v>Administrador</v>
      </c>
      <c r="E42" s="34">
        <v>2</v>
      </c>
      <c r="F42" s="141"/>
      <c r="G42" s="217"/>
      <c r="I42" s="34">
        <v>2</v>
      </c>
      <c r="J42" s="141"/>
      <c r="K42" s="217"/>
      <c r="M42" s="34">
        <v>2</v>
      </c>
      <c r="N42" s="141"/>
      <c r="O42" s="217"/>
      <c r="Q42" s="34">
        <v>2</v>
      </c>
      <c r="R42" s="141"/>
      <c r="S42" s="217"/>
      <c r="U42" s="34">
        <v>2</v>
      </c>
      <c r="V42" s="141"/>
      <c r="W42" s="217"/>
      <c r="Y42" s="34">
        <v>2</v>
      </c>
      <c r="Z42" s="141"/>
      <c r="AA42" s="217"/>
      <c r="AC42" s="34">
        <v>2</v>
      </c>
      <c r="AD42" s="141"/>
      <c r="AE42" s="217"/>
      <c r="AG42" s="34">
        <v>2</v>
      </c>
      <c r="AH42" s="141"/>
      <c r="AI42" s="217"/>
      <c r="AK42" s="34">
        <v>2</v>
      </c>
      <c r="AL42" s="141"/>
      <c r="AM42" s="217"/>
    </row>
    <row r="43" spans="3:39" x14ac:dyDescent="0.25">
      <c r="C43" s="208"/>
      <c r="D43" s="24" t="str">
        <f>+'Caract básicas'!C56</f>
        <v>Auxiliar</v>
      </c>
      <c r="E43" s="34">
        <v>2</v>
      </c>
      <c r="F43" s="141"/>
      <c r="G43" s="217"/>
      <c r="I43" s="34">
        <v>2</v>
      </c>
      <c r="J43" s="141"/>
      <c r="K43" s="217"/>
      <c r="M43" s="34">
        <v>2</v>
      </c>
      <c r="N43" s="141"/>
      <c r="O43" s="217"/>
      <c r="Q43" s="34">
        <v>2</v>
      </c>
      <c r="R43" s="141"/>
      <c r="S43" s="217"/>
      <c r="U43" s="34">
        <v>2</v>
      </c>
      <c r="V43" s="141"/>
      <c r="W43" s="217"/>
      <c r="Y43" s="34">
        <v>2</v>
      </c>
      <c r="Z43" s="141"/>
      <c r="AA43" s="217"/>
      <c r="AC43" s="34">
        <v>2</v>
      </c>
      <c r="AD43" s="141"/>
      <c r="AE43" s="217"/>
      <c r="AG43" s="34">
        <v>2</v>
      </c>
      <c r="AH43" s="141"/>
      <c r="AI43" s="217"/>
      <c r="AK43" s="34">
        <v>2</v>
      </c>
      <c r="AL43" s="141"/>
      <c r="AM43" s="217"/>
    </row>
    <row r="44" spans="3:39" x14ac:dyDescent="0.25">
      <c r="C44" s="208"/>
      <c r="D44" s="24" t="str">
        <f>+'Caract básicas'!C57</f>
        <v>Secretario</v>
      </c>
      <c r="E44" s="34">
        <v>1</v>
      </c>
      <c r="F44" s="141"/>
      <c r="G44" s="217"/>
      <c r="I44" s="34">
        <v>1</v>
      </c>
      <c r="J44" s="141"/>
      <c r="K44" s="217"/>
      <c r="M44" s="34">
        <v>1</v>
      </c>
      <c r="N44" s="141"/>
      <c r="O44" s="217"/>
      <c r="Q44" s="34">
        <v>1</v>
      </c>
      <c r="R44" s="141"/>
      <c r="S44" s="217"/>
      <c r="U44" s="34">
        <v>1</v>
      </c>
      <c r="V44" s="141"/>
      <c r="W44" s="217"/>
      <c r="Y44" s="34">
        <v>1</v>
      </c>
      <c r="Z44" s="141"/>
      <c r="AA44" s="217"/>
      <c r="AC44" s="34">
        <v>1</v>
      </c>
      <c r="AD44" s="141"/>
      <c r="AE44" s="217"/>
      <c r="AG44" s="34">
        <v>1</v>
      </c>
      <c r="AH44" s="141"/>
      <c r="AI44" s="217"/>
      <c r="AK44" s="34">
        <v>1</v>
      </c>
      <c r="AL44" s="141"/>
      <c r="AM44" s="217"/>
    </row>
    <row r="45" spans="3:39" x14ac:dyDescent="0.25">
      <c r="C45" s="208"/>
      <c r="D45" s="24" t="str">
        <f>+'Caract básicas'!C58</f>
        <v>Jefe de logística/almacén</v>
      </c>
      <c r="E45" s="34">
        <v>1</v>
      </c>
      <c r="F45" s="141"/>
      <c r="G45" s="217"/>
      <c r="I45" s="34">
        <v>1</v>
      </c>
      <c r="J45" s="141"/>
      <c r="K45" s="217"/>
      <c r="M45" s="34">
        <v>1</v>
      </c>
      <c r="N45" s="141"/>
      <c r="O45" s="217"/>
      <c r="Q45" s="34">
        <v>1</v>
      </c>
      <c r="R45" s="141"/>
      <c r="S45" s="217"/>
      <c r="U45" s="34">
        <v>1</v>
      </c>
      <c r="V45" s="141"/>
      <c r="W45" s="217"/>
      <c r="Y45" s="34">
        <v>1</v>
      </c>
      <c r="Z45" s="141"/>
      <c r="AA45" s="217"/>
      <c r="AC45" s="34">
        <v>1</v>
      </c>
      <c r="AD45" s="141"/>
      <c r="AE45" s="217"/>
      <c r="AG45" s="34">
        <v>1</v>
      </c>
      <c r="AH45" s="141"/>
      <c r="AI45" s="217"/>
      <c r="AK45" s="34">
        <v>1</v>
      </c>
      <c r="AL45" s="141"/>
      <c r="AM45" s="217"/>
    </row>
    <row r="46" spans="3:39" x14ac:dyDescent="0.25">
      <c r="C46" s="208"/>
      <c r="D46" s="24" t="str">
        <f>+'Caract básicas'!C59</f>
        <v>Auxiliar de logística/almacén</v>
      </c>
      <c r="E46" s="34">
        <v>1</v>
      </c>
      <c r="F46" s="141"/>
      <c r="G46" s="217"/>
      <c r="I46" s="34">
        <v>1</v>
      </c>
      <c r="J46" s="141"/>
      <c r="K46" s="217"/>
      <c r="M46" s="34">
        <v>1</v>
      </c>
      <c r="N46" s="141"/>
      <c r="O46" s="217"/>
      <c r="Q46" s="34">
        <v>1</v>
      </c>
      <c r="R46" s="141"/>
      <c r="S46" s="217"/>
      <c r="U46" s="34">
        <v>1</v>
      </c>
      <c r="V46" s="141"/>
      <c r="W46" s="217"/>
      <c r="Y46" s="34">
        <v>1</v>
      </c>
      <c r="Z46" s="141"/>
      <c r="AA46" s="217"/>
      <c r="AC46" s="34">
        <v>1</v>
      </c>
      <c r="AD46" s="141"/>
      <c r="AE46" s="217"/>
      <c r="AG46" s="34">
        <v>1</v>
      </c>
      <c r="AH46" s="141"/>
      <c r="AI46" s="217"/>
      <c r="AK46" s="34">
        <v>1</v>
      </c>
      <c r="AL46" s="141"/>
      <c r="AM46" s="217"/>
    </row>
    <row r="47" spans="3:39" x14ac:dyDescent="0.25">
      <c r="C47" s="208"/>
      <c r="D47" s="24" t="str">
        <f>+'Caract básicas'!C60</f>
        <v>Jefe de contabilidad</v>
      </c>
      <c r="E47" s="34">
        <v>1</v>
      </c>
      <c r="F47" s="141"/>
      <c r="G47" s="217"/>
      <c r="I47" s="34">
        <v>1</v>
      </c>
      <c r="J47" s="141"/>
      <c r="K47" s="217"/>
      <c r="M47" s="34">
        <v>1</v>
      </c>
      <c r="N47" s="141"/>
      <c r="O47" s="217"/>
      <c r="Q47" s="34">
        <v>1</v>
      </c>
      <c r="R47" s="141"/>
      <c r="S47" s="217"/>
      <c r="U47" s="34">
        <v>1</v>
      </c>
      <c r="V47" s="141"/>
      <c r="W47" s="217"/>
      <c r="Y47" s="34">
        <v>1</v>
      </c>
      <c r="Z47" s="141"/>
      <c r="AA47" s="217"/>
      <c r="AC47" s="34">
        <v>1</v>
      </c>
      <c r="AD47" s="141"/>
      <c r="AE47" s="217"/>
      <c r="AG47" s="34">
        <v>1</v>
      </c>
      <c r="AH47" s="141"/>
      <c r="AI47" s="217"/>
      <c r="AK47" s="34">
        <v>1</v>
      </c>
      <c r="AL47" s="141"/>
      <c r="AM47" s="217"/>
    </row>
    <row r="48" spans="3:39" x14ac:dyDescent="0.25">
      <c r="C48" s="208"/>
      <c r="D48" s="24" t="str">
        <f>+'Caract básicas'!C61</f>
        <v>Auxiliar contabilidad</v>
      </c>
      <c r="E48" s="34">
        <v>1</v>
      </c>
      <c r="F48" s="141"/>
      <c r="G48" s="217"/>
      <c r="I48" s="34">
        <v>1</v>
      </c>
      <c r="J48" s="141"/>
      <c r="K48" s="217"/>
      <c r="M48" s="34">
        <v>1</v>
      </c>
      <c r="N48" s="141"/>
      <c r="O48" s="217"/>
      <c r="Q48" s="34">
        <v>1</v>
      </c>
      <c r="R48" s="141"/>
      <c r="S48" s="217"/>
      <c r="U48" s="34">
        <v>1</v>
      </c>
      <c r="V48" s="141"/>
      <c r="W48" s="217"/>
      <c r="Y48" s="34">
        <v>1</v>
      </c>
      <c r="Z48" s="141"/>
      <c r="AA48" s="217"/>
      <c r="AC48" s="34">
        <v>1</v>
      </c>
      <c r="AD48" s="141"/>
      <c r="AE48" s="217"/>
      <c r="AG48" s="34">
        <v>1</v>
      </c>
      <c r="AH48" s="141"/>
      <c r="AI48" s="217"/>
      <c r="AK48" s="34">
        <v>1</v>
      </c>
      <c r="AL48" s="141"/>
      <c r="AM48" s="217"/>
    </row>
    <row r="49" spans="3:39" x14ac:dyDescent="0.25">
      <c r="C49" s="208"/>
      <c r="D49" s="24" t="str">
        <f>+'Caract básicas'!C62</f>
        <v>Jefe de RRHH</v>
      </c>
      <c r="E49" s="34">
        <v>1</v>
      </c>
      <c r="F49" s="141"/>
      <c r="G49" s="217"/>
      <c r="I49" s="34">
        <v>1</v>
      </c>
      <c r="J49" s="141"/>
      <c r="K49" s="217"/>
      <c r="M49" s="34">
        <v>1</v>
      </c>
      <c r="N49" s="141"/>
      <c r="O49" s="217"/>
      <c r="Q49" s="34">
        <v>1</v>
      </c>
      <c r="R49" s="141"/>
      <c r="S49" s="217"/>
      <c r="U49" s="34">
        <v>1</v>
      </c>
      <c r="V49" s="141"/>
      <c r="W49" s="217"/>
      <c r="Y49" s="34">
        <v>1</v>
      </c>
      <c r="Z49" s="141"/>
      <c r="AA49" s="217"/>
      <c r="AC49" s="34">
        <v>1</v>
      </c>
      <c r="AD49" s="141"/>
      <c r="AE49" s="217"/>
      <c r="AG49" s="34">
        <v>1</v>
      </c>
      <c r="AH49" s="141"/>
      <c r="AI49" s="217"/>
      <c r="AK49" s="34">
        <v>1</v>
      </c>
      <c r="AL49" s="141"/>
      <c r="AM49" s="217"/>
    </row>
    <row r="50" spans="3:39" x14ac:dyDescent="0.25">
      <c r="C50" s="208"/>
      <c r="D50" s="24" t="str">
        <f>+'Caract básicas'!C63</f>
        <v>Auxiliar de RRHH</v>
      </c>
      <c r="E50" s="34">
        <v>1</v>
      </c>
      <c r="F50" s="141"/>
      <c r="G50" s="217"/>
      <c r="I50" s="34">
        <v>1</v>
      </c>
      <c r="J50" s="141"/>
      <c r="K50" s="217"/>
      <c r="M50" s="34">
        <v>1</v>
      </c>
      <c r="N50" s="141"/>
      <c r="O50" s="217"/>
      <c r="Q50" s="34">
        <v>1</v>
      </c>
      <c r="R50" s="141"/>
      <c r="S50" s="217"/>
      <c r="U50" s="34">
        <v>1</v>
      </c>
      <c r="V50" s="141"/>
      <c r="W50" s="217"/>
      <c r="Y50" s="34">
        <v>1</v>
      </c>
      <c r="Z50" s="141"/>
      <c r="AA50" s="217"/>
      <c r="AC50" s="34">
        <v>1</v>
      </c>
      <c r="AD50" s="141"/>
      <c r="AE50" s="217"/>
      <c r="AG50" s="34">
        <v>1</v>
      </c>
      <c r="AH50" s="141"/>
      <c r="AI50" s="217"/>
      <c r="AK50" s="34">
        <v>1</v>
      </c>
      <c r="AL50" s="141"/>
      <c r="AM50" s="217"/>
    </row>
    <row r="51" spans="3:39" x14ac:dyDescent="0.25">
      <c r="C51" s="208"/>
      <c r="D51" s="26" t="s">
        <v>65</v>
      </c>
      <c r="E51" s="38">
        <f>+SUM(E41:E50)</f>
        <v>12</v>
      </c>
      <c r="F51" s="174" t="s">
        <v>92</v>
      </c>
      <c r="G51" s="144">
        <v>0</v>
      </c>
      <c r="I51" s="38">
        <f>+SUM(I41:I50)</f>
        <v>12</v>
      </c>
      <c r="J51" s="174" t="s">
        <v>92</v>
      </c>
      <c r="K51" s="144">
        <v>0</v>
      </c>
      <c r="M51" s="38">
        <f>+SUM(M41:M50)</f>
        <v>12</v>
      </c>
      <c r="N51" s="174" t="s">
        <v>92</v>
      </c>
      <c r="O51" s="144">
        <v>0</v>
      </c>
      <c r="Q51" s="38">
        <f>+SUM(Q41:Q50)</f>
        <v>12</v>
      </c>
      <c r="R51" s="174" t="s">
        <v>92</v>
      </c>
      <c r="S51" s="144">
        <v>0</v>
      </c>
      <c r="U51" s="38">
        <f>+SUM(U41:U50)</f>
        <v>12</v>
      </c>
      <c r="V51" s="174" t="s">
        <v>92</v>
      </c>
      <c r="W51" s="144">
        <v>0</v>
      </c>
      <c r="Y51" s="38">
        <f>+SUM(Y41:Y50)</f>
        <v>12</v>
      </c>
      <c r="Z51" s="174" t="s">
        <v>92</v>
      </c>
      <c r="AA51" s="144">
        <v>0</v>
      </c>
      <c r="AC51" s="38">
        <f>+SUM(AC41:AC50)</f>
        <v>12</v>
      </c>
      <c r="AD51" s="174" t="s">
        <v>92</v>
      </c>
      <c r="AE51" s="144">
        <v>0</v>
      </c>
      <c r="AG51" s="38">
        <f>+SUM(AG41:AG50)</f>
        <v>12</v>
      </c>
      <c r="AH51" s="174" t="s">
        <v>92</v>
      </c>
      <c r="AI51" s="144">
        <v>0</v>
      </c>
      <c r="AK51" s="38">
        <f>+SUM(AK41:AK50)</f>
        <v>12</v>
      </c>
      <c r="AL51" s="174" t="s">
        <v>92</v>
      </c>
      <c r="AM51" s="144">
        <v>0</v>
      </c>
    </row>
    <row r="52" spans="3:39" ht="30" x14ac:dyDescent="0.25">
      <c r="E52" s="31"/>
      <c r="F52" s="169" t="s">
        <v>198</v>
      </c>
      <c r="G52" s="169" t="s">
        <v>199</v>
      </c>
      <c r="I52" s="31"/>
      <c r="J52" s="169" t="s">
        <v>198</v>
      </c>
      <c r="K52" s="169" t="s">
        <v>199</v>
      </c>
      <c r="M52" s="31"/>
      <c r="N52" s="169" t="s">
        <v>198</v>
      </c>
      <c r="O52" s="169" t="s">
        <v>199</v>
      </c>
      <c r="Q52" s="31"/>
      <c r="R52" s="169" t="s">
        <v>198</v>
      </c>
      <c r="S52" s="169" t="s">
        <v>199</v>
      </c>
      <c r="U52" s="31"/>
      <c r="V52" s="169" t="s">
        <v>198</v>
      </c>
      <c r="W52" s="169" t="s">
        <v>199</v>
      </c>
      <c r="Y52" s="31"/>
      <c r="Z52" s="169" t="s">
        <v>198</v>
      </c>
      <c r="AA52" s="169" t="s">
        <v>199</v>
      </c>
      <c r="AC52" s="31"/>
      <c r="AD52" s="169" t="s">
        <v>198</v>
      </c>
      <c r="AE52" s="169" t="s">
        <v>199</v>
      </c>
      <c r="AG52" s="31"/>
      <c r="AH52" s="169" t="s">
        <v>198</v>
      </c>
      <c r="AI52" s="169" t="s">
        <v>199</v>
      </c>
      <c r="AK52" s="31"/>
      <c r="AL52" s="169" t="s">
        <v>198</v>
      </c>
      <c r="AM52" s="169" t="s">
        <v>199</v>
      </c>
    </row>
    <row r="53" spans="3:39" x14ac:dyDescent="0.25">
      <c r="C53" s="209" t="s">
        <v>93</v>
      </c>
      <c r="D53" s="24" t="str">
        <f>+'Caract básicas'!C64</f>
        <v>Taquilleros</v>
      </c>
      <c r="E53" s="34">
        <f>+ROUNDUP(1.5*'Caract básicas'!F8*'Caract básicas'!F28,0)</f>
        <v>9</v>
      </c>
      <c r="F53" s="138">
        <f>+'Caract básicas'!$E$64</f>
        <v>19982000</v>
      </c>
      <c r="G53" s="138">
        <f>+E53*F53</f>
        <v>179838000</v>
      </c>
      <c r="I53" s="34">
        <f>+ROUNDUP(1.5*'Caract básicas'!G8*'Caract básicas'!G28,0)</f>
        <v>9</v>
      </c>
      <c r="J53" s="138">
        <f>+'Caract básicas'!$E$64</f>
        <v>19982000</v>
      </c>
      <c r="K53" s="138">
        <f>+I53*J53</f>
        <v>179838000</v>
      </c>
      <c r="M53" s="34">
        <f>+ROUNDUP(1.5*'Caract básicas'!H8*'Caract básicas'!H28,0)</f>
        <v>9</v>
      </c>
      <c r="N53" s="138">
        <f>+'Caract básicas'!$E$64</f>
        <v>19982000</v>
      </c>
      <c r="O53" s="138">
        <f>+M53*N53</f>
        <v>179838000</v>
      </c>
      <c r="Q53" s="34">
        <f>+ROUNDUP(1.5*'Caract básicas'!I8*'Caract básicas'!I28,0)</f>
        <v>9</v>
      </c>
      <c r="R53" s="138">
        <f>+'Caract básicas'!$E$64</f>
        <v>19982000</v>
      </c>
      <c r="S53" s="138">
        <f>+Q53*R53</f>
        <v>179838000</v>
      </c>
      <c r="U53" s="34">
        <f>+ROUNDUP(1.5*'Caract básicas'!J8*'Caract básicas'!J28,0)</f>
        <v>9</v>
      </c>
      <c r="V53" s="138">
        <f>+'Caract básicas'!$E$64</f>
        <v>19982000</v>
      </c>
      <c r="W53" s="138">
        <f>+U53*V53</f>
        <v>179838000</v>
      </c>
      <c r="Y53" s="34">
        <f>+ROUNDUP(1.5*'Caract básicas'!K8*'Caract básicas'!K28,0)</f>
        <v>9</v>
      </c>
      <c r="Z53" s="138">
        <f>+'Caract básicas'!$E$64</f>
        <v>19982000</v>
      </c>
      <c r="AA53" s="138">
        <f>+Y53*Z53</f>
        <v>179838000</v>
      </c>
      <c r="AC53" s="34">
        <f>+ROUNDUP(1.5*'Caract básicas'!L8*'Caract básicas'!L28,0)</f>
        <v>9</v>
      </c>
      <c r="AD53" s="138">
        <f>+'Caract básicas'!$E$64</f>
        <v>19982000</v>
      </c>
      <c r="AE53" s="138">
        <f>+AC53*AD53</f>
        <v>179838000</v>
      </c>
      <c r="AG53" s="34">
        <f>+ROUNDUP(1.5*'Caract básicas'!M8*'Caract básicas'!M28,0)</f>
        <v>9</v>
      </c>
      <c r="AH53" s="138">
        <f>+'Caract básicas'!$E$64</f>
        <v>19982000</v>
      </c>
      <c r="AI53" s="138">
        <f>+AG53*AH53</f>
        <v>179838000</v>
      </c>
      <c r="AK53" s="34">
        <f>+ROUNDUP(1.5*'Caract básicas'!N8*'Caract básicas'!N28,0)</f>
        <v>9</v>
      </c>
      <c r="AL53" s="138">
        <f>+'Caract básicas'!$E$64</f>
        <v>19982000</v>
      </c>
      <c r="AM53" s="138">
        <f>+AK53*AL53</f>
        <v>179838000</v>
      </c>
    </row>
    <row r="54" spans="3:39" x14ac:dyDescent="0.25">
      <c r="C54" s="209"/>
      <c r="D54" s="24" t="str">
        <f>+'Caract básicas'!C65</f>
        <v>Limpieza</v>
      </c>
      <c r="E54" s="34">
        <f>ROUNDUP(1.5*'Caract básicas'!F8*'Caract básicas'!F28,0)</f>
        <v>9</v>
      </c>
      <c r="F54" s="138">
        <f>+'Caract básicas'!$E$65</f>
        <v>19982000</v>
      </c>
      <c r="G54" s="138">
        <f>+E54*F54</f>
        <v>179838000</v>
      </c>
      <c r="I54" s="34">
        <f>ROUNDUP(1.5*'Caract básicas'!G8*'Caract básicas'!G28,0)</f>
        <v>9</v>
      </c>
      <c r="J54" s="138">
        <f>+'Caract básicas'!$E$65</f>
        <v>19982000</v>
      </c>
      <c r="K54" s="138">
        <f>+I54*J54</f>
        <v>179838000</v>
      </c>
      <c r="M54" s="34">
        <f>ROUNDUP(1.5*'Caract básicas'!H8*'Caract básicas'!H28,0)</f>
        <v>9</v>
      </c>
      <c r="N54" s="138">
        <f>+'Caract básicas'!$E$65</f>
        <v>19982000</v>
      </c>
      <c r="O54" s="138">
        <f>+M54*N54</f>
        <v>179838000</v>
      </c>
      <c r="Q54" s="34">
        <f>ROUNDUP(1.5*'Caract básicas'!I8*'Caract básicas'!I28,0)</f>
        <v>9</v>
      </c>
      <c r="R54" s="138">
        <f>+'Caract básicas'!$E$65</f>
        <v>19982000</v>
      </c>
      <c r="S54" s="138">
        <f>+Q54*R54</f>
        <v>179838000</v>
      </c>
      <c r="U54" s="34">
        <f>ROUNDUP(1.5*'Caract básicas'!J8*'Caract básicas'!J28,0)</f>
        <v>9</v>
      </c>
      <c r="V54" s="138">
        <f>+'Caract básicas'!$E$65</f>
        <v>19982000</v>
      </c>
      <c r="W54" s="138">
        <f>+U54*V54</f>
        <v>179838000</v>
      </c>
      <c r="Y54" s="34">
        <f>ROUNDUP(1.5*'Caract básicas'!K8*'Caract básicas'!K28,0)</f>
        <v>9</v>
      </c>
      <c r="Z54" s="138">
        <f>+'Caract básicas'!$E$65</f>
        <v>19982000</v>
      </c>
      <c r="AA54" s="138">
        <f>+Y54*Z54</f>
        <v>179838000</v>
      </c>
      <c r="AC54" s="34">
        <f>ROUNDUP(1.5*'Caract básicas'!L8*'Caract básicas'!L28,0)</f>
        <v>9</v>
      </c>
      <c r="AD54" s="138">
        <f>+'Caract básicas'!$E$65</f>
        <v>19982000</v>
      </c>
      <c r="AE54" s="138">
        <f>+AC54*AD54</f>
        <v>179838000</v>
      </c>
      <c r="AG54" s="34">
        <f>ROUNDUP(1.5*'Caract básicas'!M8*'Caract básicas'!M28,0)</f>
        <v>9</v>
      </c>
      <c r="AH54" s="138">
        <f>+'Caract básicas'!$E$65</f>
        <v>19982000</v>
      </c>
      <c r="AI54" s="138">
        <f>+AG54*AH54</f>
        <v>179838000</v>
      </c>
      <c r="AK54" s="34">
        <f>ROUNDUP(1.5*'Caract básicas'!N8*'Caract básicas'!N28,0)</f>
        <v>9</v>
      </c>
      <c r="AL54" s="138">
        <f>+'Caract básicas'!$E$65</f>
        <v>19982000</v>
      </c>
      <c r="AM54" s="138">
        <f>+AK54*AL54</f>
        <v>179838000</v>
      </c>
    </row>
    <row r="55" spans="3:39" x14ac:dyDescent="0.25">
      <c r="C55" s="209"/>
      <c r="D55" s="24" t="str">
        <f>+'Caract básicas'!C66</f>
        <v>Seguridad</v>
      </c>
      <c r="E55" s="34">
        <f>ROUNDUP(1.5*'Caract básicas'!F8*'Caract básicas'!F28,0)</f>
        <v>9</v>
      </c>
      <c r="F55" s="138">
        <f>+'Caract básicas'!$E$66</f>
        <v>30864000</v>
      </c>
      <c r="G55" s="138">
        <f>+E55*F55</f>
        <v>277776000</v>
      </c>
      <c r="I55" s="34">
        <f>ROUNDUP(1.5*'Caract básicas'!G8*'Caract básicas'!G28,0)</f>
        <v>9</v>
      </c>
      <c r="J55" s="138">
        <f>+'Caract básicas'!$E$66</f>
        <v>30864000</v>
      </c>
      <c r="K55" s="138">
        <f>+I55*J55</f>
        <v>277776000</v>
      </c>
      <c r="M55" s="34">
        <f>ROUNDUP(1.5*'Caract básicas'!H8*'Caract básicas'!H28,0)</f>
        <v>9</v>
      </c>
      <c r="N55" s="138">
        <f>+'Caract básicas'!$E$66</f>
        <v>30864000</v>
      </c>
      <c r="O55" s="138">
        <f>+M55*N55</f>
        <v>277776000</v>
      </c>
      <c r="Q55" s="34">
        <f>ROUNDUP(1.5*'Caract básicas'!I8*'Caract básicas'!I28,0)</f>
        <v>9</v>
      </c>
      <c r="R55" s="138">
        <f>+'Caract básicas'!$E$66</f>
        <v>30864000</v>
      </c>
      <c r="S55" s="138">
        <f>+Q55*R55</f>
        <v>277776000</v>
      </c>
      <c r="U55" s="34">
        <f>ROUNDUP(1.5*'Caract básicas'!J8*'Caract básicas'!J28,0)</f>
        <v>9</v>
      </c>
      <c r="V55" s="138">
        <f>+'Caract básicas'!$E$66</f>
        <v>30864000</v>
      </c>
      <c r="W55" s="138">
        <f>+U55*V55</f>
        <v>277776000</v>
      </c>
      <c r="Y55" s="34">
        <f>ROUNDUP(1.5*'Caract básicas'!K8*'Caract básicas'!K28,0)</f>
        <v>9</v>
      </c>
      <c r="Z55" s="138">
        <f>+'Caract básicas'!$E$66</f>
        <v>30864000</v>
      </c>
      <c r="AA55" s="138">
        <f>+Y55*Z55</f>
        <v>277776000</v>
      </c>
      <c r="AC55" s="34">
        <f>ROUNDUP(1.5*'Caract básicas'!L8*'Caract básicas'!L28,0)</f>
        <v>9</v>
      </c>
      <c r="AD55" s="138">
        <f>+'Caract básicas'!$E$66</f>
        <v>30864000</v>
      </c>
      <c r="AE55" s="138">
        <f>+AC55*AD55</f>
        <v>277776000</v>
      </c>
      <c r="AG55" s="34">
        <f>ROUNDUP(1.5*'Caract básicas'!M8*'Caract básicas'!M28,0)</f>
        <v>9</v>
      </c>
      <c r="AH55" s="138">
        <f>+'Caract básicas'!$E$66</f>
        <v>30864000</v>
      </c>
      <c r="AI55" s="138">
        <f>+AG55*AH55</f>
        <v>277776000</v>
      </c>
      <c r="AK55" s="34">
        <f>ROUNDUP(1.5*'Caract básicas'!N8*'Caract básicas'!N28,0)</f>
        <v>9</v>
      </c>
      <c r="AL55" s="138">
        <f>+'Caract básicas'!$E$66</f>
        <v>30864000</v>
      </c>
      <c r="AM55" s="138">
        <f>+AK55*AL55</f>
        <v>277776000</v>
      </c>
    </row>
    <row r="56" spans="3:39" x14ac:dyDescent="0.25">
      <c r="C56" s="209"/>
      <c r="D56" s="24" t="str">
        <f>+'Caract básicas'!C67</f>
        <v>Asistente médico</v>
      </c>
      <c r="E56" s="34">
        <f>+ROUNDUP(1.5*'Caract básicas'!F28*ROUNDUP('Caract básicas'!F7/3,0),0)</f>
        <v>5</v>
      </c>
      <c r="F56" s="138">
        <f>+'Caract básicas'!$E$67</f>
        <v>53897000</v>
      </c>
      <c r="G56" s="138">
        <f>+E56*F56</f>
        <v>269485000</v>
      </c>
      <c r="I56" s="34">
        <f>+ROUNDUP(1.5*'Caract básicas'!G28*ROUNDUP('Caract básicas'!G7/3,0),0)</f>
        <v>5</v>
      </c>
      <c r="J56" s="138">
        <f>+'Caract básicas'!$E$67</f>
        <v>53897000</v>
      </c>
      <c r="K56" s="138">
        <f>+I56*J56</f>
        <v>269485000</v>
      </c>
      <c r="M56" s="34">
        <f>+ROUNDUP(1.5*'Caract básicas'!H28*ROUNDUP('Caract básicas'!H7/3,0),0)</f>
        <v>5</v>
      </c>
      <c r="N56" s="138">
        <f>+'Caract básicas'!$E$67</f>
        <v>53897000</v>
      </c>
      <c r="O56" s="138">
        <f>+M56*N56</f>
        <v>269485000</v>
      </c>
      <c r="Q56" s="34">
        <f>+ROUNDUP(1.5*'Caract básicas'!I28*ROUNDUP('Caract básicas'!I7/3,0),0)</f>
        <v>5</v>
      </c>
      <c r="R56" s="138">
        <f>+'Caract básicas'!$E$67</f>
        <v>53897000</v>
      </c>
      <c r="S56" s="138">
        <f>+Q56*R56</f>
        <v>269485000</v>
      </c>
      <c r="U56" s="34">
        <f>+ROUNDUP(1.5*'Caract básicas'!J28*ROUNDUP('Caract básicas'!J7/3,0),0)</f>
        <v>5</v>
      </c>
      <c r="V56" s="138">
        <f>+'Caract básicas'!$E$67</f>
        <v>53897000</v>
      </c>
      <c r="W56" s="138">
        <f>+U56*V56</f>
        <v>269485000</v>
      </c>
      <c r="Y56" s="34">
        <f>+ROUNDUP(1.5*'Caract básicas'!K28*ROUNDUP('Caract básicas'!K7/3,0),0)</f>
        <v>5</v>
      </c>
      <c r="Z56" s="138">
        <f>+'Caract básicas'!$E$67</f>
        <v>53897000</v>
      </c>
      <c r="AA56" s="138">
        <f>+Y56*Z56</f>
        <v>269485000</v>
      </c>
      <c r="AC56" s="34">
        <f>+ROUNDUP(1.5*'Caract básicas'!L28*ROUNDUP('Caract básicas'!L7/3,0),0)</f>
        <v>5</v>
      </c>
      <c r="AD56" s="138">
        <f>+'Caract básicas'!$E$67</f>
        <v>53897000</v>
      </c>
      <c r="AE56" s="138">
        <f>+AC56*AD56</f>
        <v>269485000</v>
      </c>
      <c r="AG56" s="34">
        <f>+ROUNDUP(1.5*'Caract básicas'!M28*ROUNDUP('Caract básicas'!M7/3,0),0)</f>
        <v>5</v>
      </c>
      <c r="AH56" s="138">
        <f>+'Caract básicas'!$E$67</f>
        <v>53897000</v>
      </c>
      <c r="AI56" s="138">
        <f>+AG56*AH56</f>
        <v>269485000</v>
      </c>
      <c r="AK56" s="34">
        <f>+ROUNDUP(1.5*'Caract básicas'!N28*ROUNDUP('Caract básicas'!N7/3,0),0)</f>
        <v>5</v>
      </c>
      <c r="AL56" s="138">
        <f>+'Caract básicas'!$E$67</f>
        <v>53897000</v>
      </c>
      <c r="AM56" s="138">
        <f>+AK56*AL56</f>
        <v>269485000</v>
      </c>
    </row>
    <row r="57" spans="3:39" x14ac:dyDescent="0.25">
      <c r="C57" s="209"/>
      <c r="D57" s="26" t="s">
        <v>65</v>
      </c>
      <c r="E57" s="38">
        <f>+SUM(E53:E56)</f>
        <v>32</v>
      </c>
      <c r="F57" s="76"/>
      <c r="G57" s="85">
        <f>+SUM(G53:G56)</f>
        <v>906937000</v>
      </c>
      <c r="I57" s="38">
        <f>+SUM(I53:I56)</f>
        <v>32</v>
      </c>
      <c r="J57" s="76"/>
      <c r="K57" s="85">
        <f>+SUM(K53:K56)</f>
        <v>906937000</v>
      </c>
      <c r="M57" s="38">
        <f>+SUM(M53:M56)</f>
        <v>32</v>
      </c>
      <c r="N57" s="76"/>
      <c r="O57" s="85">
        <f>+SUM(O53:O56)</f>
        <v>906937000</v>
      </c>
      <c r="Q57" s="38">
        <f>+SUM(Q53:Q56)</f>
        <v>32</v>
      </c>
      <c r="R57" s="76"/>
      <c r="S57" s="85">
        <f>+SUM(S53:S56)</f>
        <v>906937000</v>
      </c>
      <c r="U57" s="38">
        <f>+SUM(U53:U56)</f>
        <v>32</v>
      </c>
      <c r="V57" s="76"/>
      <c r="W57" s="85">
        <f>+SUM(W53:W56)</f>
        <v>906937000</v>
      </c>
      <c r="Y57" s="38">
        <f>+SUM(Y53:Y56)</f>
        <v>32</v>
      </c>
      <c r="Z57" s="76"/>
      <c r="AA57" s="85">
        <f>+SUM(AA53:AA56)</f>
        <v>906937000</v>
      </c>
      <c r="AC57" s="38">
        <f>+SUM(AC53:AC56)</f>
        <v>32</v>
      </c>
      <c r="AD57" s="76"/>
      <c r="AE57" s="85">
        <f>+SUM(AE53:AE56)</f>
        <v>906937000</v>
      </c>
      <c r="AG57" s="38">
        <f>+SUM(AG53:AG56)</f>
        <v>32</v>
      </c>
      <c r="AH57" s="76"/>
      <c r="AI57" s="85">
        <f>+SUM(AI53:AI56)</f>
        <v>906937000</v>
      </c>
      <c r="AK57" s="38">
        <f>+SUM(AK53:AK56)</f>
        <v>32</v>
      </c>
      <c r="AL57" s="76"/>
      <c r="AM57" s="85">
        <f>+SUM(AM53:AM56)</f>
        <v>906937000</v>
      </c>
    </row>
    <row r="58" spans="3:39" x14ac:dyDescent="0.25">
      <c r="E58" s="31"/>
      <c r="F58" s="169" t="s">
        <v>203</v>
      </c>
      <c r="G58" s="169" t="s">
        <v>199</v>
      </c>
      <c r="I58" s="31"/>
      <c r="J58" s="169" t="s">
        <v>203</v>
      </c>
      <c r="K58" s="169" t="s">
        <v>199</v>
      </c>
      <c r="M58" s="31"/>
      <c r="N58" s="169" t="s">
        <v>203</v>
      </c>
      <c r="O58" s="169" t="s">
        <v>199</v>
      </c>
      <c r="Q58" s="31"/>
      <c r="R58" s="169" t="s">
        <v>203</v>
      </c>
      <c r="S58" s="169" t="s">
        <v>199</v>
      </c>
      <c r="U58" s="31"/>
      <c r="V58" s="169" t="s">
        <v>203</v>
      </c>
      <c r="W58" s="169" t="s">
        <v>199</v>
      </c>
      <c r="Y58" s="31"/>
      <c r="Z58" s="169" t="s">
        <v>203</v>
      </c>
      <c r="AA58" s="169" t="s">
        <v>199</v>
      </c>
      <c r="AC58" s="31"/>
      <c r="AD58" s="169" t="s">
        <v>203</v>
      </c>
      <c r="AE58" s="169" t="s">
        <v>199</v>
      </c>
      <c r="AG58" s="31"/>
      <c r="AH58" s="169" t="s">
        <v>203</v>
      </c>
      <c r="AI58" s="169" t="s">
        <v>199</v>
      </c>
      <c r="AK58" s="31"/>
      <c r="AL58" s="169" t="s">
        <v>203</v>
      </c>
      <c r="AM58" s="169" t="s">
        <v>199</v>
      </c>
    </row>
    <row r="59" spans="3:39" x14ac:dyDescent="0.25">
      <c r="C59" s="208" t="s">
        <v>99</v>
      </c>
      <c r="D59" s="27" t="s">
        <v>208</v>
      </c>
      <c r="E59" s="34">
        <f>+E2+'Caract básicas'!F10</f>
        <v>2</v>
      </c>
      <c r="F59" s="138">
        <f>+(ROUND(65000*$B$1,-3))/3</f>
        <v>93506333.333333328</v>
      </c>
      <c r="G59" s="138">
        <f>+E59*F59</f>
        <v>187012666.66666666</v>
      </c>
      <c r="I59" s="34">
        <f>+I2+'Caract básicas'!G10</f>
        <v>2</v>
      </c>
      <c r="J59" s="138">
        <f>+(ROUND(65000*$B$1,-3))/3</f>
        <v>93506333.333333328</v>
      </c>
      <c r="K59" s="138">
        <f>+I59*J59</f>
        <v>187012666.66666666</v>
      </c>
      <c r="M59" s="34">
        <f>+M2+'Caract básicas'!H10</f>
        <v>2</v>
      </c>
      <c r="N59" s="138">
        <f>+(ROUND(65000*$B$1,-3))/3</f>
        <v>93506333.333333328</v>
      </c>
      <c r="O59" s="138">
        <f>+M59*N59</f>
        <v>187012666.66666666</v>
      </c>
      <c r="Q59" s="34">
        <f>+Q2+'Caract básicas'!I10</f>
        <v>2</v>
      </c>
      <c r="R59" s="138">
        <f>+(ROUND(65000*$B$1,-3))/3</f>
        <v>93506333.333333328</v>
      </c>
      <c r="S59" s="138">
        <f>+Q59*R59</f>
        <v>187012666.66666666</v>
      </c>
      <c r="U59" s="34">
        <f>+U2+'Caract básicas'!J10</f>
        <v>2</v>
      </c>
      <c r="V59" s="138">
        <f>+(ROUND(65000*$B$1,-3))/3</f>
        <v>93506333.333333328</v>
      </c>
      <c r="W59" s="138">
        <f>+U59*V59</f>
        <v>187012666.66666666</v>
      </c>
      <c r="Y59" s="34">
        <f>+Y2+'Caract básicas'!K10</f>
        <v>2</v>
      </c>
      <c r="Z59" s="138">
        <f>+(ROUND(65000*$B$1,-3))/3</f>
        <v>93506333.333333328</v>
      </c>
      <c r="AA59" s="138">
        <f>+Y59*Z59</f>
        <v>187012666.66666666</v>
      </c>
      <c r="AC59" s="34">
        <f>+AC2+'Caract básicas'!L10</f>
        <v>2</v>
      </c>
      <c r="AD59" s="138">
        <f>+(ROUND(65000*$B$1,-3))/3</f>
        <v>93506333.333333328</v>
      </c>
      <c r="AE59" s="138">
        <f>+AC59*AD59</f>
        <v>187012666.66666666</v>
      </c>
      <c r="AG59" s="34">
        <f>+AG2+'Caract básicas'!M10</f>
        <v>2</v>
      </c>
      <c r="AH59" s="138">
        <f>+(ROUND(65000*$B$1,-3))/3</f>
        <v>93506333.333333328</v>
      </c>
      <c r="AI59" s="138">
        <f>+AG59*AH59</f>
        <v>187012666.66666666</v>
      </c>
      <c r="AK59" s="34">
        <f>+AK2+'Caract básicas'!N10</f>
        <v>2</v>
      </c>
      <c r="AL59" s="138">
        <f>+(ROUND(65000*$B$1,-3))/3</f>
        <v>93506333.333333328</v>
      </c>
      <c r="AM59" s="138">
        <f>+AK59*AL59</f>
        <v>187012666.66666666</v>
      </c>
    </row>
    <row r="60" spans="3:39" x14ac:dyDescent="0.25">
      <c r="C60" s="208"/>
      <c r="D60" s="27" t="s">
        <v>209</v>
      </c>
      <c r="E60" s="168">
        <v>3</v>
      </c>
      <c r="F60" s="138">
        <f>ROUND((24000000+(24000000*'Caract básicas'!$B$1))/3,-3)</f>
        <v>10016000</v>
      </c>
      <c r="G60" s="138">
        <f>+E60*F60</f>
        <v>30048000</v>
      </c>
      <c r="I60" s="168">
        <v>3</v>
      </c>
      <c r="J60" s="138">
        <f>ROUND((24000000+(24000000*'Caract básicas'!$B$1))/3,-3)</f>
        <v>10016000</v>
      </c>
      <c r="K60" s="138">
        <f>+I60*J60</f>
        <v>30048000</v>
      </c>
      <c r="M60" s="168">
        <v>3</v>
      </c>
      <c r="N60" s="138">
        <f>ROUND((24000000+(24000000*'Caract básicas'!$B$1))/3,-3)</f>
        <v>10016000</v>
      </c>
      <c r="O60" s="138">
        <f>+M60*N60</f>
        <v>30048000</v>
      </c>
      <c r="Q60" s="168">
        <v>3</v>
      </c>
      <c r="R60" s="138">
        <f>ROUND((24000000+(24000000*'Caract básicas'!$B$1))/3,-3)</f>
        <v>10016000</v>
      </c>
      <c r="S60" s="138">
        <f>+Q60*R60</f>
        <v>30048000</v>
      </c>
      <c r="U60" s="168">
        <v>3</v>
      </c>
      <c r="V60" s="138">
        <f>ROUND((24000000+(24000000*'Caract básicas'!$B$1))/3,-3)</f>
        <v>10016000</v>
      </c>
      <c r="W60" s="138">
        <f>+U60*V60</f>
        <v>30048000</v>
      </c>
      <c r="Y60" s="168">
        <v>3</v>
      </c>
      <c r="Z60" s="138">
        <f>ROUND((24000000+(24000000*'Caract básicas'!$B$1))/3,-3)</f>
        <v>10016000</v>
      </c>
      <c r="AA60" s="138">
        <f>+Y60*Z60</f>
        <v>30048000</v>
      </c>
      <c r="AC60" s="168">
        <v>3</v>
      </c>
      <c r="AD60" s="138">
        <f>ROUND((24000000+(24000000*'Caract básicas'!$B$1))/3,-3)</f>
        <v>10016000</v>
      </c>
      <c r="AE60" s="138">
        <f>+AC60*AD60</f>
        <v>30048000</v>
      </c>
      <c r="AG60" s="168">
        <v>3</v>
      </c>
      <c r="AH60" s="138">
        <f>ROUND((24000000+(24000000*'Caract básicas'!$B$1))/3,-3)</f>
        <v>10016000</v>
      </c>
      <c r="AI60" s="138">
        <f>+AG60*AH60</f>
        <v>30048000</v>
      </c>
      <c r="AK60" s="168">
        <v>3</v>
      </c>
      <c r="AL60" s="138">
        <f>ROUND((24000000+(24000000*'Caract básicas'!$B$1))/3,-3)</f>
        <v>10016000</v>
      </c>
      <c r="AM60" s="138">
        <f>+AK60*AL60</f>
        <v>30048000</v>
      </c>
    </row>
    <row r="61" spans="3:39" x14ac:dyDescent="0.25">
      <c r="C61" s="208"/>
      <c r="D61" s="27" t="s">
        <v>210</v>
      </c>
      <c r="E61" s="168">
        <v>3</v>
      </c>
      <c r="F61" s="138">
        <f>ROUND((33600000+(33600000*'Caract básicas'!$B$1))/3,-3)</f>
        <v>14022000</v>
      </c>
      <c r="G61" s="138">
        <f>+E61*F61</f>
        <v>42066000</v>
      </c>
      <c r="I61" s="168">
        <v>3</v>
      </c>
      <c r="J61" s="138">
        <f>ROUND((33600000+(33600000*'Caract básicas'!$B$1))/3,-3)</f>
        <v>14022000</v>
      </c>
      <c r="K61" s="138">
        <f>+I61*J61</f>
        <v>42066000</v>
      </c>
      <c r="M61" s="168">
        <v>3</v>
      </c>
      <c r="N61" s="138">
        <f>ROUND((33600000+(33600000*'Caract básicas'!$B$1))/3,-3)</f>
        <v>14022000</v>
      </c>
      <c r="O61" s="138">
        <f>+M61*N61</f>
        <v>42066000</v>
      </c>
      <c r="Q61" s="168">
        <v>3</v>
      </c>
      <c r="R61" s="138">
        <f>ROUND((33600000+(33600000*'Caract básicas'!$B$1))/3,-3)</f>
        <v>14022000</v>
      </c>
      <c r="S61" s="138">
        <f>+Q61*R61</f>
        <v>42066000</v>
      </c>
      <c r="U61" s="168">
        <v>3</v>
      </c>
      <c r="V61" s="138">
        <f>ROUND((33600000+(33600000*'Caract básicas'!$B$1))/3,-3)</f>
        <v>14022000</v>
      </c>
      <c r="W61" s="138">
        <f>+U61*V61</f>
        <v>42066000</v>
      </c>
      <c r="Y61" s="168">
        <v>3</v>
      </c>
      <c r="Z61" s="138">
        <f>ROUND((33600000+(33600000*'Caract básicas'!$B$1))/3,-3)</f>
        <v>14022000</v>
      </c>
      <c r="AA61" s="138">
        <f>+Y61*Z61</f>
        <v>42066000</v>
      </c>
      <c r="AC61" s="168">
        <v>3</v>
      </c>
      <c r="AD61" s="138">
        <f>ROUND((33600000+(33600000*'Caract básicas'!$B$1))/3,-3)</f>
        <v>14022000</v>
      </c>
      <c r="AE61" s="138">
        <f>+AC61*AD61</f>
        <v>42066000</v>
      </c>
      <c r="AG61" s="168">
        <v>3</v>
      </c>
      <c r="AH61" s="138">
        <f>ROUND((33600000+(33600000*'Caract básicas'!$B$1))/3,-3)</f>
        <v>14022000</v>
      </c>
      <c r="AI61" s="138">
        <f>+AG61*AH61</f>
        <v>42066000</v>
      </c>
      <c r="AK61" s="168">
        <v>3</v>
      </c>
      <c r="AL61" s="138">
        <f>ROUND((33600000+(33600000*'Caract básicas'!$B$1))/3,-3)</f>
        <v>14022000</v>
      </c>
      <c r="AM61" s="138">
        <f>+AK61*AL61</f>
        <v>42066000</v>
      </c>
    </row>
    <row r="62" spans="3:39" x14ac:dyDescent="0.25">
      <c r="C62" s="208"/>
      <c r="D62" s="27" t="s">
        <v>211</v>
      </c>
      <c r="E62" s="168">
        <v>1</v>
      </c>
      <c r="F62" s="138">
        <f>ROUND(584129227+(584129227*'Caract básicas'!$B$1),-3)</f>
        <v>731330000</v>
      </c>
      <c r="G62" s="138">
        <f>+E62*F62</f>
        <v>731330000</v>
      </c>
      <c r="I62" s="168">
        <v>1</v>
      </c>
      <c r="J62" s="138">
        <f>ROUND(584129227+(584129227*'Caract básicas'!$B$1),-3)</f>
        <v>731330000</v>
      </c>
      <c r="K62" s="138">
        <f>+I62*J62</f>
        <v>731330000</v>
      </c>
      <c r="M62" s="168">
        <v>1</v>
      </c>
      <c r="N62" s="138">
        <f>ROUND(584129227+(584129227*'Caract básicas'!$B$1),-3)</f>
        <v>731330000</v>
      </c>
      <c r="O62" s="138">
        <f>+M62*N62</f>
        <v>731330000</v>
      </c>
      <c r="Q62" s="168">
        <v>1</v>
      </c>
      <c r="R62" s="138">
        <f>ROUND(584129227+(584129227*'Caract básicas'!$B$1),-3)</f>
        <v>731330000</v>
      </c>
      <c r="S62" s="138">
        <f>+Q62*R62</f>
        <v>731330000</v>
      </c>
      <c r="U62" s="168">
        <v>1</v>
      </c>
      <c r="V62" s="138">
        <f>ROUND(584129227+(584129227*'Caract básicas'!$B$1),-3)</f>
        <v>731330000</v>
      </c>
      <c r="W62" s="138">
        <f>+U62*V62</f>
        <v>731330000</v>
      </c>
      <c r="Y62" s="168">
        <v>1</v>
      </c>
      <c r="Z62" s="138">
        <f>ROUND(584129227+(584129227*'Caract básicas'!$B$1),-3)</f>
        <v>731330000</v>
      </c>
      <c r="AA62" s="138">
        <f>+Y62*Z62</f>
        <v>731330000</v>
      </c>
      <c r="AC62" s="168">
        <v>1</v>
      </c>
      <c r="AD62" s="138">
        <f>ROUND(584129227+(584129227*'Caract básicas'!$B$1),-3)</f>
        <v>731330000</v>
      </c>
      <c r="AE62" s="138">
        <f>+AC62*AD62</f>
        <v>731330000</v>
      </c>
      <c r="AG62" s="168">
        <v>1</v>
      </c>
      <c r="AH62" s="138">
        <f>ROUND(584129227+(584129227*'Caract básicas'!$B$1),-3)</f>
        <v>731330000</v>
      </c>
      <c r="AI62" s="138">
        <f>+AG62*AH62</f>
        <v>731330000</v>
      </c>
      <c r="AK62" s="168">
        <v>1</v>
      </c>
      <c r="AL62" s="138">
        <f>ROUND(584129227+(584129227*'Caract básicas'!$B$1),-3)</f>
        <v>731330000</v>
      </c>
      <c r="AM62" s="138">
        <f>+AK62*AL62</f>
        <v>731330000</v>
      </c>
    </row>
    <row r="63" spans="3:39" ht="30" x14ac:dyDescent="0.25">
      <c r="C63" s="208"/>
      <c r="D63" s="24" t="s">
        <v>212</v>
      </c>
      <c r="E63" s="168">
        <f>+E2</f>
        <v>2</v>
      </c>
      <c r="F63" s="138">
        <f>ROUND(30000*$B$1,-3)</f>
        <v>129470000</v>
      </c>
      <c r="G63" s="138">
        <f>+E63*F63</f>
        <v>258940000</v>
      </c>
      <c r="I63" s="168">
        <f>+I2</f>
        <v>2</v>
      </c>
      <c r="J63" s="138">
        <f>ROUND(30000*$B$1,-3)</f>
        <v>129470000</v>
      </c>
      <c r="K63" s="138">
        <f>+I63*J63</f>
        <v>258940000</v>
      </c>
      <c r="M63" s="168">
        <f>+M2</f>
        <v>2</v>
      </c>
      <c r="N63" s="138">
        <f>ROUND(30000*$B$1,-3)</f>
        <v>129470000</v>
      </c>
      <c r="O63" s="138">
        <f>+M63*N63</f>
        <v>258940000</v>
      </c>
      <c r="Q63" s="168">
        <f>+Q2</f>
        <v>2</v>
      </c>
      <c r="R63" s="138">
        <f>ROUND(30000*$B$1,-3)</f>
        <v>129470000</v>
      </c>
      <c r="S63" s="138">
        <f>+Q63*R63</f>
        <v>258940000</v>
      </c>
      <c r="U63" s="168">
        <f>+U2</f>
        <v>2</v>
      </c>
      <c r="V63" s="138">
        <f>ROUND(30000*$B$1,-3)</f>
        <v>129470000</v>
      </c>
      <c r="W63" s="138">
        <f>+U63*V63</f>
        <v>258940000</v>
      </c>
      <c r="Y63" s="168">
        <f>+Y2</f>
        <v>2</v>
      </c>
      <c r="Z63" s="138">
        <f>ROUND(30000*$B$1,-3)</f>
        <v>129470000</v>
      </c>
      <c r="AA63" s="138">
        <f>+Y63*Z63</f>
        <v>258940000</v>
      </c>
      <c r="AC63" s="168">
        <f>+AC2</f>
        <v>2</v>
      </c>
      <c r="AD63" s="138">
        <f>ROUND(30000*$B$1,-3)</f>
        <v>129470000</v>
      </c>
      <c r="AE63" s="138">
        <f>+AC63*AD63</f>
        <v>258940000</v>
      </c>
      <c r="AG63" s="168">
        <f>+AG2</f>
        <v>2</v>
      </c>
      <c r="AH63" s="138">
        <f>ROUND(30000*$B$1,-3)</f>
        <v>129470000</v>
      </c>
      <c r="AI63" s="138">
        <f>+AG63*AH63</f>
        <v>258940000</v>
      </c>
      <c r="AK63" s="168">
        <f>+AK2</f>
        <v>2</v>
      </c>
      <c r="AL63" s="138">
        <f>ROUND(30000*$B$1,-3)</f>
        <v>129470000</v>
      </c>
      <c r="AM63" s="138">
        <f>+AK63*AL63</f>
        <v>258940000</v>
      </c>
    </row>
    <row r="64" spans="3:39" x14ac:dyDescent="0.25">
      <c r="C64" s="208"/>
      <c r="D64" s="26" t="s">
        <v>98</v>
      </c>
      <c r="E64" s="47"/>
      <c r="F64" s="76"/>
      <c r="G64" s="85">
        <f>+SUM(G59:G63)</f>
        <v>1249396666.6666665</v>
      </c>
      <c r="I64" s="47"/>
      <c r="J64" s="76"/>
      <c r="K64" s="85">
        <f>+SUM(K59:K63)</f>
        <v>1249396666.6666665</v>
      </c>
      <c r="M64" s="47"/>
      <c r="N64" s="76"/>
      <c r="O64" s="85">
        <f>+SUM(O59:O63)</f>
        <v>1249396666.6666665</v>
      </c>
      <c r="Q64" s="47"/>
      <c r="R64" s="76"/>
      <c r="S64" s="85">
        <f>+SUM(S59:S63)</f>
        <v>1249396666.6666665</v>
      </c>
      <c r="U64" s="47"/>
      <c r="V64" s="76"/>
      <c r="W64" s="85">
        <f>+SUM(W59:W63)</f>
        <v>1249396666.6666665</v>
      </c>
      <c r="Y64" s="47"/>
      <c r="Z64" s="76"/>
      <c r="AA64" s="85">
        <f>+SUM(AA59:AA63)</f>
        <v>1249396666.6666665</v>
      </c>
      <c r="AC64" s="47"/>
      <c r="AD64" s="76"/>
      <c r="AE64" s="85">
        <f>+SUM(AE59:AE63)</f>
        <v>1249396666.6666665</v>
      </c>
      <c r="AG64" s="47"/>
      <c r="AH64" s="76"/>
      <c r="AI64" s="85">
        <f>+SUM(AI59:AI63)</f>
        <v>1249396666.6666665</v>
      </c>
      <c r="AK64" s="47"/>
      <c r="AL64" s="76"/>
      <c r="AM64" s="85">
        <f>+SUM(AM59:AM63)</f>
        <v>1249396666.6666665</v>
      </c>
    </row>
    <row r="65" spans="3:39" x14ac:dyDescent="0.25">
      <c r="E65" s="31"/>
      <c r="F65" s="39"/>
      <c r="G65" s="40"/>
      <c r="I65" s="31"/>
      <c r="J65" s="39"/>
      <c r="K65" s="40"/>
      <c r="M65" s="31"/>
      <c r="N65" s="39"/>
      <c r="O65" s="40"/>
      <c r="Q65" s="31"/>
      <c r="R65" s="39"/>
      <c r="S65" s="40"/>
      <c r="U65" s="31"/>
      <c r="V65" s="39"/>
      <c r="W65" s="40"/>
      <c r="Y65" s="31"/>
      <c r="Z65" s="39"/>
      <c r="AA65" s="40"/>
      <c r="AC65" s="31"/>
      <c r="AD65" s="39"/>
      <c r="AE65" s="40"/>
      <c r="AG65" s="31"/>
      <c r="AH65" s="39"/>
      <c r="AI65" s="40"/>
      <c r="AK65" s="31"/>
      <c r="AL65" s="39"/>
      <c r="AM65" s="40"/>
    </row>
    <row r="66" spans="3:39" ht="30" x14ac:dyDescent="0.25">
      <c r="D66" s="105" t="s">
        <v>100</v>
      </c>
      <c r="E66" s="108"/>
      <c r="F66" s="109"/>
      <c r="G66" s="146">
        <f>+G64+G57+G51</f>
        <v>2156333666.6666665</v>
      </c>
      <c r="I66" s="108"/>
      <c r="J66" s="109"/>
      <c r="K66" s="146">
        <f>+K64+K57+K51</f>
        <v>2156333666.6666665</v>
      </c>
      <c r="M66" s="108"/>
      <c r="N66" s="109"/>
      <c r="O66" s="146">
        <f>+O64+O57+O51</f>
        <v>2156333666.6666665</v>
      </c>
      <c r="Q66" s="108"/>
      <c r="R66" s="109"/>
      <c r="S66" s="146">
        <f>+S64+S57+S51</f>
        <v>2156333666.6666665</v>
      </c>
      <c r="U66" s="108"/>
      <c r="V66" s="109"/>
      <c r="W66" s="146">
        <f>+W64+W57+W51</f>
        <v>2156333666.6666665</v>
      </c>
      <c r="Y66" s="108"/>
      <c r="Z66" s="109"/>
      <c r="AA66" s="146">
        <f>+AA64+AA57+AA51</f>
        <v>2156333666.6666665</v>
      </c>
      <c r="AC66" s="108"/>
      <c r="AD66" s="109"/>
      <c r="AE66" s="146">
        <f>+AE64+AE57+AE51</f>
        <v>2156333666.6666665</v>
      </c>
      <c r="AG66" s="108"/>
      <c r="AH66" s="109"/>
      <c r="AI66" s="146">
        <f>+AI64+AI57+AI51</f>
        <v>2156333666.6666665</v>
      </c>
      <c r="AK66" s="108"/>
      <c r="AL66" s="109"/>
      <c r="AM66" s="146">
        <f>+AM64+AM57+AM51</f>
        <v>2156333666.6666665</v>
      </c>
    </row>
    <row r="67" spans="3:39" ht="15.75" thickBot="1" x14ac:dyDescent="0.3">
      <c r="E67" s="31"/>
      <c r="F67" s="39"/>
      <c r="I67" s="31"/>
      <c r="J67" s="39"/>
      <c r="M67" s="31"/>
      <c r="N67" s="39"/>
      <c r="Q67" s="31"/>
      <c r="R67" s="39"/>
      <c r="U67" s="31"/>
      <c r="V67" s="39"/>
      <c r="Y67" s="31"/>
      <c r="Z67" s="39"/>
      <c r="AC67" s="31"/>
      <c r="AD67" s="39"/>
      <c r="AG67" s="31"/>
      <c r="AH67" s="39"/>
      <c r="AK67" s="31"/>
      <c r="AL67" s="39"/>
    </row>
    <row r="68" spans="3:39" ht="30.75" thickBot="1" x14ac:dyDescent="0.3">
      <c r="D68" s="110" t="s">
        <v>187</v>
      </c>
      <c r="E68" s="111"/>
      <c r="F68" s="112"/>
      <c r="G68" s="146">
        <f>+G66+G38</f>
        <v>6330368666.666666</v>
      </c>
      <c r="I68" s="111"/>
      <c r="J68" s="112"/>
      <c r="K68" s="146">
        <f>+K66+K38</f>
        <v>6133730666.666666</v>
      </c>
      <c r="M68" s="111"/>
      <c r="N68" s="112"/>
      <c r="O68" s="146">
        <f>+O66+O38</f>
        <v>6324154666.666666</v>
      </c>
      <c r="Q68" s="111"/>
      <c r="R68" s="112"/>
      <c r="S68" s="146">
        <f>+S66+S38</f>
        <v>5659970666.666666</v>
      </c>
      <c r="U68" s="111"/>
      <c r="V68" s="112"/>
      <c r="W68" s="146">
        <f>+W66+W38</f>
        <v>5484139666.666666</v>
      </c>
      <c r="Y68" s="111"/>
      <c r="Z68" s="112"/>
      <c r="AA68" s="146">
        <f>+AA66+AA38</f>
        <v>5697266666.666666</v>
      </c>
      <c r="AC68" s="111"/>
      <c r="AD68" s="112"/>
      <c r="AE68" s="146">
        <f>+AE66+AE38</f>
        <v>5807296666.666666</v>
      </c>
      <c r="AG68" s="111"/>
      <c r="AH68" s="112"/>
      <c r="AI68" s="146">
        <f>+AI66+AI38</f>
        <v>6011327666.666666</v>
      </c>
      <c r="AK68" s="111"/>
      <c r="AL68" s="112"/>
      <c r="AM68" s="146">
        <f>+AM66+AM38</f>
        <v>6222178666.666666</v>
      </c>
    </row>
    <row r="69" spans="3:39" x14ac:dyDescent="0.25">
      <c r="F69" s="16"/>
      <c r="G69" s="16"/>
      <c r="J69" s="16"/>
      <c r="K69" s="16"/>
      <c r="N69" s="16"/>
      <c r="O69" s="16"/>
      <c r="R69" s="16"/>
      <c r="S69" s="16"/>
      <c r="V69" s="16"/>
      <c r="W69" s="16"/>
      <c r="Z69" s="16"/>
      <c r="AA69" s="16"/>
      <c r="AD69" s="16"/>
      <c r="AE69" s="16"/>
      <c r="AH69" s="16"/>
      <c r="AI69" s="16"/>
      <c r="AL69" s="16"/>
      <c r="AM69" s="16"/>
    </row>
    <row r="70" spans="3:39" x14ac:dyDescent="0.25">
      <c r="F70" s="16"/>
      <c r="G70" s="16"/>
      <c r="J70" s="16"/>
      <c r="K70" s="16"/>
      <c r="N70" s="16"/>
      <c r="O70" s="16"/>
      <c r="R70" s="16"/>
      <c r="S70" s="16"/>
      <c r="V70" s="16"/>
      <c r="W70" s="16"/>
      <c r="Z70" s="16"/>
      <c r="AA70" s="16"/>
      <c r="AD70" s="16"/>
      <c r="AE70" s="16"/>
      <c r="AH70" s="16"/>
      <c r="AI70" s="16"/>
      <c r="AL70" s="16"/>
      <c r="AM70" s="16"/>
    </row>
    <row r="71" spans="3:39" x14ac:dyDescent="0.25">
      <c r="F71" s="16"/>
      <c r="G71" s="16"/>
      <c r="J71" s="16"/>
      <c r="K71" s="16"/>
      <c r="N71" s="16"/>
      <c r="O71" s="16"/>
      <c r="R71" s="16"/>
      <c r="S71" s="16"/>
      <c r="V71" s="16"/>
      <c r="W71" s="16"/>
      <c r="Z71" s="16"/>
      <c r="AA71" s="16"/>
      <c r="AD71" s="16"/>
      <c r="AE71" s="16"/>
      <c r="AH71" s="16"/>
      <c r="AI71" s="16"/>
      <c r="AL71" s="16"/>
      <c r="AM71" s="16"/>
    </row>
    <row r="72" spans="3:39" x14ac:dyDescent="0.25">
      <c r="F72" s="16"/>
      <c r="G72" s="16"/>
      <c r="J72" s="16"/>
      <c r="K72" s="16"/>
      <c r="N72" s="16"/>
      <c r="O72" s="16"/>
      <c r="R72" s="16"/>
      <c r="S72" s="16"/>
      <c r="V72" s="16"/>
      <c r="W72" s="16"/>
      <c r="Z72" s="16"/>
      <c r="AA72" s="16"/>
      <c r="AD72" s="16"/>
      <c r="AE72" s="16"/>
      <c r="AH72" s="16"/>
      <c r="AI72" s="16"/>
      <c r="AL72" s="16"/>
      <c r="AM72" s="16"/>
    </row>
    <row r="73" spans="3:39" x14ac:dyDescent="0.25">
      <c r="F73" s="16"/>
      <c r="G73" s="16"/>
      <c r="J73" s="16"/>
      <c r="K73" s="16"/>
      <c r="N73" s="16"/>
      <c r="O73" s="16"/>
      <c r="R73" s="16"/>
      <c r="S73" s="16"/>
      <c r="V73" s="16"/>
      <c r="W73" s="16"/>
      <c r="Z73" s="16"/>
      <c r="AA73" s="16"/>
      <c r="AD73" s="16"/>
      <c r="AE73" s="16"/>
      <c r="AH73" s="16"/>
      <c r="AI73" s="16"/>
      <c r="AL73" s="16"/>
      <c r="AM73" s="16"/>
    </row>
    <row r="74" spans="3:39" x14ac:dyDescent="0.25">
      <c r="D74" s="76"/>
      <c r="E74" s="191"/>
      <c r="F74" s="191"/>
      <c r="G74" s="191" t="str">
        <f t="shared" ref="G74:AM74" si="0">+E1</f>
        <v>Tramo 1. Alt 6</v>
      </c>
      <c r="H74" s="191"/>
      <c r="I74" s="191"/>
      <c r="J74" s="191"/>
      <c r="K74" s="191" t="str">
        <f t="shared" si="0"/>
        <v>Tramo 1. Alt 1</v>
      </c>
      <c r="L74" s="191"/>
      <c r="M74" s="191"/>
      <c r="N74" s="191"/>
      <c r="O74" s="191" t="str">
        <f t="shared" si="0"/>
        <v>Tramo 1. Alt 4</v>
      </c>
      <c r="P74" s="191"/>
      <c r="Q74" s="191"/>
      <c r="R74" s="191"/>
      <c r="S74" s="191" t="str">
        <f t="shared" si="0"/>
        <v>Tramo 2. Alt 2</v>
      </c>
      <c r="T74" s="191"/>
      <c r="U74" s="191"/>
      <c r="V74" s="191"/>
      <c r="W74" s="191" t="str">
        <f t="shared" si="0"/>
        <v>Tramo 2. Alt 5</v>
      </c>
      <c r="X74" s="191"/>
      <c r="Y74" s="191"/>
      <c r="Z74" s="191"/>
      <c r="AA74" s="191" t="str">
        <f t="shared" si="0"/>
        <v>Tramo 2. Alt 3</v>
      </c>
      <c r="AB74" s="191"/>
      <c r="AC74" s="191"/>
      <c r="AD74" s="191"/>
      <c r="AE74" s="191" t="str">
        <f t="shared" si="0"/>
        <v>Ramal. Alt 1</v>
      </c>
      <c r="AF74" s="191"/>
      <c r="AG74" s="191"/>
      <c r="AH74" s="191"/>
      <c r="AI74" s="191" t="str">
        <f t="shared" si="0"/>
        <v>Ramal. Alt 2</v>
      </c>
      <c r="AJ74" s="191"/>
      <c r="AK74" s="191"/>
      <c r="AL74" s="191"/>
      <c r="AM74" s="191" t="str">
        <f t="shared" si="0"/>
        <v>Ramal. Alt 3</v>
      </c>
    </row>
    <row r="75" spans="3:39" x14ac:dyDescent="0.25">
      <c r="D75" s="76" t="s">
        <v>229</v>
      </c>
      <c r="E75" s="191"/>
      <c r="F75" s="191"/>
      <c r="G75" s="191">
        <f t="shared" ref="G75:AM75" si="1">+G17</f>
        <v>1429920000</v>
      </c>
      <c r="H75" s="191"/>
      <c r="I75" s="191"/>
      <c r="J75" s="191"/>
      <c r="K75" s="191">
        <f t="shared" si="1"/>
        <v>1429920000</v>
      </c>
      <c r="L75" s="191"/>
      <c r="M75" s="191"/>
      <c r="N75" s="191"/>
      <c r="O75" s="191">
        <f t="shared" si="1"/>
        <v>1429920000</v>
      </c>
      <c r="P75" s="191"/>
      <c r="Q75" s="191"/>
      <c r="R75" s="191"/>
      <c r="S75" s="191">
        <f t="shared" si="1"/>
        <v>1429920000</v>
      </c>
      <c r="T75" s="191"/>
      <c r="U75" s="191"/>
      <c r="V75" s="191"/>
      <c r="W75" s="191">
        <f t="shared" si="1"/>
        <v>1429920000</v>
      </c>
      <c r="X75" s="191"/>
      <c r="Y75" s="191"/>
      <c r="Z75" s="191"/>
      <c r="AA75" s="191">
        <f t="shared" si="1"/>
        <v>1429920000</v>
      </c>
      <c r="AB75" s="191"/>
      <c r="AC75" s="191"/>
      <c r="AD75" s="191"/>
      <c r="AE75" s="191">
        <f t="shared" si="1"/>
        <v>1429920000</v>
      </c>
      <c r="AF75" s="191"/>
      <c r="AG75" s="191"/>
      <c r="AH75" s="191"/>
      <c r="AI75" s="191">
        <f t="shared" si="1"/>
        <v>1429920000</v>
      </c>
      <c r="AJ75" s="191"/>
      <c r="AK75" s="191"/>
      <c r="AL75" s="191"/>
      <c r="AM75" s="191">
        <f t="shared" si="1"/>
        <v>1429920000</v>
      </c>
    </row>
    <row r="76" spans="3:39" x14ac:dyDescent="0.25">
      <c r="C76" s="15"/>
      <c r="D76" s="76" t="s">
        <v>230</v>
      </c>
      <c r="E76" s="191"/>
      <c r="F76" s="191"/>
      <c r="G76" s="191">
        <f t="shared" ref="G76:AM76" si="2">+G24</f>
        <v>1660103000</v>
      </c>
      <c r="H76" s="191"/>
      <c r="I76" s="191"/>
      <c r="J76" s="191"/>
      <c r="K76" s="191">
        <f t="shared" si="2"/>
        <v>1589491000</v>
      </c>
      <c r="L76" s="191"/>
      <c r="M76" s="191"/>
      <c r="N76" s="191"/>
      <c r="O76" s="191">
        <f t="shared" si="2"/>
        <v>1638728000</v>
      </c>
      <c r="P76" s="191"/>
      <c r="Q76" s="191"/>
      <c r="R76" s="191"/>
      <c r="S76" s="191">
        <f t="shared" si="2"/>
        <v>1400947000</v>
      </c>
      <c r="T76" s="191"/>
      <c r="U76" s="191"/>
      <c r="V76" s="191"/>
      <c r="W76" s="191">
        <f t="shared" si="2"/>
        <v>1359670000</v>
      </c>
      <c r="X76" s="191"/>
      <c r="Y76" s="191"/>
      <c r="Z76" s="191"/>
      <c r="AA76" s="191">
        <f t="shared" si="2"/>
        <v>1438243000</v>
      </c>
      <c r="AB76" s="191"/>
      <c r="AC76" s="191"/>
      <c r="AD76" s="191"/>
      <c r="AE76" s="191">
        <f t="shared" si="2"/>
        <v>1500895000</v>
      </c>
      <c r="AF76" s="191"/>
      <c r="AG76" s="191"/>
      <c r="AH76" s="191"/>
      <c r="AI76" s="191">
        <f t="shared" si="2"/>
        <v>1587428000</v>
      </c>
      <c r="AJ76" s="191"/>
      <c r="AK76" s="191"/>
      <c r="AL76" s="191"/>
      <c r="AM76" s="191">
        <f t="shared" si="2"/>
        <v>1658040000</v>
      </c>
    </row>
    <row r="77" spans="3:39" x14ac:dyDescent="0.25">
      <c r="C77" s="15"/>
      <c r="D77" s="76" t="s">
        <v>231</v>
      </c>
      <c r="E77" s="191"/>
      <c r="F77" s="191"/>
      <c r="G77" s="191">
        <f t="shared" ref="G77:AM77" si="3">+G36</f>
        <v>1084012000</v>
      </c>
      <c r="H77" s="191"/>
      <c r="I77" s="191"/>
      <c r="J77" s="191"/>
      <c r="K77" s="191">
        <f t="shared" si="3"/>
        <v>957986000</v>
      </c>
      <c r="L77" s="191"/>
      <c r="M77" s="191"/>
      <c r="N77" s="191"/>
      <c r="O77" s="191">
        <f t="shared" si="3"/>
        <v>1099173000</v>
      </c>
      <c r="P77" s="191"/>
      <c r="Q77" s="191"/>
      <c r="R77" s="191"/>
      <c r="S77" s="191">
        <f t="shared" si="3"/>
        <v>672770000</v>
      </c>
      <c r="T77" s="191"/>
      <c r="U77" s="191"/>
      <c r="V77" s="191"/>
      <c r="W77" s="191">
        <f t="shared" si="3"/>
        <v>538216000</v>
      </c>
      <c r="X77" s="191"/>
      <c r="Y77" s="191"/>
      <c r="Z77" s="191"/>
      <c r="AA77" s="191">
        <f t="shared" si="3"/>
        <v>672770000</v>
      </c>
      <c r="AB77" s="191"/>
      <c r="AC77" s="191"/>
      <c r="AD77" s="191"/>
      <c r="AE77" s="191">
        <f t="shared" si="3"/>
        <v>720148000</v>
      </c>
      <c r="AF77" s="191"/>
      <c r="AG77" s="191"/>
      <c r="AH77" s="191"/>
      <c r="AI77" s="191">
        <f t="shared" si="3"/>
        <v>837646000</v>
      </c>
      <c r="AJ77" s="191"/>
      <c r="AK77" s="191"/>
      <c r="AL77" s="191"/>
      <c r="AM77" s="191">
        <f t="shared" si="3"/>
        <v>977885000</v>
      </c>
    </row>
    <row r="78" spans="3:39" ht="30" x14ac:dyDescent="0.25">
      <c r="C78" s="15"/>
      <c r="D78" s="76" t="s">
        <v>185</v>
      </c>
      <c r="E78" s="191"/>
      <c r="F78" s="191"/>
      <c r="G78" s="191">
        <f t="shared" ref="G78:AM78" si="4">+SUM(G75:G77)</f>
        <v>4174035000</v>
      </c>
      <c r="H78" s="191"/>
      <c r="I78" s="191"/>
      <c r="J78" s="191"/>
      <c r="K78" s="191">
        <f t="shared" si="4"/>
        <v>3977397000</v>
      </c>
      <c r="L78" s="191"/>
      <c r="M78" s="191"/>
      <c r="N78" s="191"/>
      <c r="O78" s="191">
        <f t="shared" si="4"/>
        <v>4167821000</v>
      </c>
      <c r="P78" s="191"/>
      <c r="Q78" s="191"/>
      <c r="R78" s="191"/>
      <c r="S78" s="191">
        <f t="shared" si="4"/>
        <v>3503637000</v>
      </c>
      <c r="T78" s="191"/>
      <c r="U78" s="191"/>
      <c r="V78" s="191"/>
      <c r="W78" s="191">
        <f t="shared" si="4"/>
        <v>3327806000</v>
      </c>
      <c r="X78" s="191"/>
      <c r="Y78" s="191"/>
      <c r="Z78" s="191"/>
      <c r="AA78" s="191">
        <f t="shared" si="4"/>
        <v>3540933000</v>
      </c>
      <c r="AB78" s="191"/>
      <c r="AC78" s="191"/>
      <c r="AD78" s="191"/>
      <c r="AE78" s="191">
        <f t="shared" si="4"/>
        <v>3650963000</v>
      </c>
      <c r="AF78" s="191"/>
      <c r="AG78" s="191"/>
      <c r="AH78" s="191"/>
      <c r="AI78" s="191">
        <f t="shared" si="4"/>
        <v>3854994000</v>
      </c>
      <c r="AJ78" s="191"/>
      <c r="AK78" s="191"/>
      <c r="AL78" s="191"/>
      <c r="AM78" s="191">
        <f t="shared" si="4"/>
        <v>4065845000</v>
      </c>
    </row>
    <row r="79" spans="3:39" x14ac:dyDescent="0.25">
      <c r="C79" s="15"/>
      <c r="E79" s="15"/>
      <c r="G79" s="16"/>
      <c r="I79" s="15"/>
      <c r="K79" s="16"/>
      <c r="M79" s="15"/>
      <c r="O79" s="16"/>
      <c r="Q79" s="15"/>
      <c r="S79" s="16"/>
      <c r="U79" s="15"/>
      <c r="W79" s="16"/>
      <c r="Y79" s="15"/>
      <c r="AA79" s="16"/>
      <c r="AC79" s="15"/>
      <c r="AE79" s="16"/>
      <c r="AG79" s="15"/>
      <c r="AI79" s="16"/>
      <c r="AK79" s="15"/>
      <c r="AM79" s="16"/>
    </row>
    <row r="80" spans="3:39" x14ac:dyDescent="0.25">
      <c r="C80" s="15"/>
      <c r="E80" s="15"/>
      <c r="G80" s="16"/>
      <c r="I80" s="15"/>
      <c r="K80" s="16"/>
      <c r="M80" s="15"/>
      <c r="O80" s="16"/>
      <c r="Q80" s="15"/>
      <c r="S80" s="16"/>
      <c r="U80" s="15"/>
      <c r="W80" s="16"/>
      <c r="Y80" s="15"/>
      <c r="AA80" s="16"/>
      <c r="AC80" s="15"/>
      <c r="AE80" s="16"/>
      <c r="AG80" s="15"/>
      <c r="AI80" s="16"/>
      <c r="AK80" s="15"/>
      <c r="AM80" s="16"/>
    </row>
    <row r="81" spans="6:39" x14ac:dyDescent="0.25">
      <c r="F81" s="16"/>
      <c r="G81" s="16"/>
      <c r="J81" s="16"/>
      <c r="K81" s="16"/>
      <c r="N81" s="16"/>
      <c r="O81" s="16"/>
      <c r="R81" s="16"/>
      <c r="S81" s="16"/>
      <c r="V81" s="16"/>
      <c r="W81" s="16"/>
      <c r="Z81" s="16"/>
      <c r="AA81" s="16"/>
      <c r="AD81" s="16"/>
      <c r="AE81" s="16"/>
      <c r="AH81" s="16"/>
      <c r="AI81" s="16"/>
      <c r="AL81" s="16"/>
      <c r="AM81" s="16"/>
    </row>
    <row r="82" spans="6:39" x14ac:dyDescent="0.25">
      <c r="F82" s="16"/>
      <c r="G82" s="16"/>
      <c r="J82" s="16"/>
      <c r="K82" s="16"/>
      <c r="N82" s="16"/>
      <c r="O82" s="16"/>
      <c r="R82" s="16"/>
      <c r="S82" s="16"/>
      <c r="V82" s="16"/>
      <c r="W82" s="16"/>
      <c r="Z82" s="16"/>
      <c r="AA82" s="16"/>
      <c r="AD82" s="16"/>
      <c r="AE82" s="16"/>
      <c r="AH82" s="16"/>
      <c r="AI82" s="16"/>
      <c r="AL82" s="16"/>
      <c r="AM82" s="16"/>
    </row>
  </sheetData>
  <mergeCells count="43">
    <mergeCell ref="AG1:AI1"/>
    <mergeCell ref="AH22:AH23"/>
    <mergeCell ref="AI22:AI23"/>
    <mergeCell ref="AI41:AI50"/>
    <mergeCell ref="AK1:AM1"/>
    <mergeCell ref="AL22:AL23"/>
    <mergeCell ref="AM22:AM23"/>
    <mergeCell ref="AM41:AM50"/>
    <mergeCell ref="Y1:AA1"/>
    <mergeCell ref="Z22:Z23"/>
    <mergeCell ref="AA22:AA23"/>
    <mergeCell ref="AA41:AA50"/>
    <mergeCell ref="AC1:AE1"/>
    <mergeCell ref="AD22:AD23"/>
    <mergeCell ref="AE22:AE23"/>
    <mergeCell ref="AE41:AE50"/>
    <mergeCell ref="S22:S23"/>
    <mergeCell ref="S41:S50"/>
    <mergeCell ref="U1:W1"/>
    <mergeCell ref="V22:V23"/>
    <mergeCell ref="W22:W23"/>
    <mergeCell ref="W41:W50"/>
    <mergeCell ref="Q1:S1"/>
    <mergeCell ref="M1:O1"/>
    <mergeCell ref="N22:N23"/>
    <mergeCell ref="O22:O23"/>
    <mergeCell ref="O41:O50"/>
    <mergeCell ref="R22:R23"/>
    <mergeCell ref="F22:F23"/>
    <mergeCell ref="E1:G1"/>
    <mergeCell ref="G22:G23"/>
    <mergeCell ref="G41:G50"/>
    <mergeCell ref="I1:K1"/>
    <mergeCell ref="J22:J23"/>
    <mergeCell ref="K22:K23"/>
    <mergeCell ref="K41:K50"/>
    <mergeCell ref="C59:C64"/>
    <mergeCell ref="C2:C9"/>
    <mergeCell ref="C41:C51"/>
    <mergeCell ref="C53:C57"/>
    <mergeCell ref="C12:C17"/>
    <mergeCell ref="C20:C24"/>
    <mergeCell ref="C26:C36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AC34D0CDCF424887DA51808CBFDE34" ma:contentTypeVersion="12" ma:contentTypeDescription="Crear nuevo documento." ma:contentTypeScope="" ma:versionID="01963f243bad9b0c80a52f290bdeafc6">
  <xsd:schema xmlns:xsd="http://www.w3.org/2001/XMLSchema" xmlns:xs="http://www.w3.org/2001/XMLSchema" xmlns:p="http://schemas.microsoft.com/office/2006/metadata/properties" xmlns:ns2="7f50fb92-20e8-4022-af9d-facec3c28e72" xmlns:ns3="e1e137fb-8f63-4ddf-bcd7-c836939c0037" targetNamespace="http://schemas.microsoft.com/office/2006/metadata/properties" ma:root="true" ma:fieldsID="505d6add725cf2eb652d0e347966e80b" ns2:_="" ns3:_="">
    <xsd:import namespace="7f50fb92-20e8-4022-af9d-facec3c28e72"/>
    <xsd:import namespace="e1e137fb-8f63-4ddf-bcd7-c836939c003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50fb92-20e8-4022-af9d-facec3c28e7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e137fb-8f63-4ddf-bcd7-c836939c00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3A88C6-C958-4ACF-A618-A4CB76C6B42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0D84E3D-9FA6-4C1F-ABAF-2AF340CABF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50fb92-20e8-4022-af9d-facec3c28e72"/>
    <ds:schemaRef ds:uri="e1e137fb-8f63-4ddf-bcd7-c836939c00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BBAFE6-D556-48EE-9B42-1D9508B6625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Caract básicas</vt:lpstr>
      <vt:lpstr>CAPEX</vt:lpstr>
      <vt:lpstr>OPEX</vt:lpstr>
      <vt:lpstr>'Caract básicas'!Área_de_impresión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MAA01</dc:creator>
  <cp:lastModifiedBy>Marc Pastor Vilanova</cp:lastModifiedBy>
  <cp:lastPrinted>2020-12-09T18:31:05Z</cp:lastPrinted>
  <dcterms:created xsi:type="dcterms:W3CDTF">2013-04-22T21:21:01Z</dcterms:created>
  <dcterms:modified xsi:type="dcterms:W3CDTF">2021-06-14T09:19:26Z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0x010100F9AC34D0CDCF424887DA51808CBFDE34</vt:lpwstr>
  </property>
</Properties>
</file>