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lombia\Entrega FASE 2\_Respuestas Factibilidad\Informes Fiemados\F.11. Redes Secas\"/>
    </mc:Choice>
  </mc:AlternateContent>
  <xr:revisionPtr revIDLastSave="0" documentId="13_ncr:1_{F5D9FD38-BFB9-4DF0-ABF2-F46B41B8F7C4}" xr6:coauthVersionLast="46" xr6:coauthVersionMax="46" xr10:uidLastSave="{00000000-0000-0000-0000-000000000000}"/>
  <bookViews>
    <workbookView xWindow="20370" yWindow="-120" windowWidth="29040" windowHeight="15840" tabRatio="795" firstSheet="6" activeTab="17" xr2:uid="{00000000-000D-0000-FFFF-FFFF00000000}"/>
  </bookViews>
  <sheets>
    <sheet name="PRIMARIA LA 5a" sheetId="8" state="hidden" r:id="rId1"/>
    <sheet name="PRIMARIA LA 5a (2)" sheetId="12" state="hidden" r:id="rId2"/>
    <sheet name="PROVISIONALES LA 5A" sheetId="9" state="hidden" r:id="rId3"/>
    <sheet name="Unitarios provisionales" sheetId="10" state="hidden" r:id="rId4"/>
    <sheet name=" ESTACIONES" sheetId="31" r:id="rId5"/>
    <sheet name="RESUMEN TRAMOS" sheetId="43" r:id="rId6"/>
    <sheet name="BT-AP-TEL" sheetId="37" r:id="rId7"/>
    <sheet name="INTERFERENCIAS" sheetId="34" r:id="rId8"/>
    <sheet name="VICT 1" sheetId="23" r:id="rId9"/>
    <sheet name="VICT 2" sheetId="24" r:id="rId10"/>
    <sheet name="VICT 3" sheetId="25" r:id="rId11"/>
    <sheet name="MORALB 1" sheetId="30" r:id="rId12"/>
    <sheet name="ALT 2" sheetId="28" r:id="rId13"/>
    <sheet name="ALT 3" sheetId="29" r:id="rId14"/>
    <sheet name="ALT 4" sheetId="32" r:id="rId15"/>
    <sheet name="ALT 5" sheetId="33" r:id="rId16"/>
    <sheet name="JR 1" sheetId="38" r:id="rId17"/>
    <sheet name="JR 2" sheetId="39" r:id="rId18"/>
    <sheet name="JR 3" sheetId="40" r:id="rId19"/>
    <sheet name="ITEMS" sheetId="20" r:id="rId20"/>
    <sheet name="APUs " sheetId="18" r:id="rId21"/>
    <sheet name="AT 115kV" sheetId="44" r:id="rId22"/>
    <sheet name="MATERIALES" sheetId="13" r:id="rId23"/>
    <sheet name="CUADRILLA" sheetId="27" r:id="rId24"/>
    <sheet name="UNITARIOS ELECTRICOS " sheetId="5" state="hidden" r:id="rId25"/>
    <sheet name="UNITARIOS ELECTRICOS COTIZACION" sheetId="6" state="hidden" r:id="rId26"/>
    <sheet name="UNITARIOS DEF. LA LIBIA" sheetId="7" state="hidden" r:id="rId27"/>
  </sheets>
  <externalReferences>
    <externalReference r:id="rId28"/>
  </externalReferences>
  <definedNames>
    <definedName name="BuiltIn_AutoFilter___4">#REF!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4" l="1"/>
  <c r="F13" i="44"/>
  <c r="E24" i="43" l="1"/>
  <c r="G7" i="44"/>
  <c r="E19" i="43" s="1"/>
  <c r="F12" i="44"/>
  <c r="F11" i="44"/>
  <c r="F9" i="44"/>
  <c r="F8" i="44"/>
  <c r="F7" i="44"/>
  <c r="F14" i="44" l="1"/>
  <c r="F15" i="44" s="1"/>
  <c r="F17" i="44" s="1"/>
  <c r="G17" i="44" s="1"/>
  <c r="H17" i="44" s="1"/>
  <c r="E14" i="43"/>
  <c r="F24" i="43" l="1"/>
  <c r="F14" i="43"/>
  <c r="F19" i="43"/>
  <c r="A173" i="34" l="1"/>
  <c r="A154" i="34"/>
  <c r="B135" i="34"/>
  <c r="B117" i="34"/>
  <c r="B100" i="34"/>
  <c r="B81" i="34"/>
  <c r="B62" i="34"/>
  <c r="B44" i="34"/>
  <c r="B26" i="34"/>
  <c r="F152" i="34" l="1"/>
  <c r="F153" i="34" s="1"/>
  <c r="E125" i="43" s="1"/>
  <c r="F133" i="34"/>
  <c r="F134" i="34" s="1"/>
  <c r="E113" i="43" s="1"/>
  <c r="F171" i="34"/>
  <c r="F172" i="34" s="1"/>
  <c r="E137" i="43" s="1"/>
  <c r="F42" i="34"/>
  <c r="F43" i="34" s="1"/>
  <c r="E50" i="43" s="1"/>
  <c r="F24" i="34"/>
  <c r="F25" i="34" s="1"/>
  <c r="E36" i="43" s="1"/>
  <c r="F60" i="34"/>
  <c r="F61" i="34" s="1"/>
  <c r="E64" i="43" s="1"/>
  <c r="F79" i="34"/>
  <c r="F80" i="34" s="1"/>
  <c r="E77" i="43" s="1"/>
  <c r="E13" i="43" l="1"/>
  <c r="E14" i="40"/>
  <c r="G9" i="31"/>
  <c r="E139" i="43" s="1"/>
  <c r="E141" i="43" s="1"/>
  <c r="E23" i="43" s="1"/>
  <c r="E9" i="31"/>
  <c r="E127" i="43" s="1"/>
  <c r="E129" i="43" s="1"/>
  <c r="E18" i="43" s="1"/>
  <c r="C9" i="31"/>
  <c r="E115" i="43" s="1"/>
  <c r="E117" i="43" s="1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C32" i="37"/>
  <c r="F7" i="37"/>
  <c r="C41" i="37" l="1"/>
  <c r="F45" i="37"/>
  <c r="C40" i="37"/>
  <c r="F132" i="13"/>
  <c r="E132" i="13"/>
  <c r="B716" i="18"/>
  <c r="B711" i="18"/>
  <c r="B643" i="18"/>
  <c r="B642" i="18"/>
  <c r="B641" i="18"/>
  <c r="B640" i="18"/>
  <c r="F18" i="37"/>
  <c r="C25" i="37"/>
  <c r="C15" i="37"/>
  <c r="C14" i="37"/>
  <c r="C13" i="37"/>
  <c r="C12" i="37"/>
  <c r="C5" i="37"/>
  <c r="C4" i="37"/>
  <c r="I132" i="13" l="1"/>
  <c r="D711" i="18" s="1"/>
  <c r="E711" i="18" s="1"/>
  <c r="E714" i="18" s="1"/>
  <c r="E715" i="18" s="1"/>
  <c r="F115" i="34" l="1"/>
  <c r="F116" i="34" s="1"/>
  <c r="E101" i="43" s="1"/>
  <c r="F98" i="34"/>
  <c r="F99" i="34" s="1"/>
  <c r="E89" i="43" s="1"/>
  <c r="F23" i="13" l="1"/>
  <c r="D23" i="13"/>
  <c r="B610" i="18"/>
  <c r="B625" i="18"/>
  <c r="D131" i="13"/>
  <c r="E131" i="13" s="1"/>
  <c r="F131" i="13"/>
  <c r="B503" i="18"/>
  <c r="D125" i="13"/>
  <c r="E125" i="13" s="1"/>
  <c r="I125" i="13" s="1"/>
  <c r="D503" i="18" s="1"/>
  <c r="E503" i="18" s="1"/>
  <c r="F125" i="13"/>
  <c r="B475" i="18"/>
  <c r="D126" i="13"/>
  <c r="E126" i="13" s="1"/>
  <c r="F126" i="13"/>
  <c r="B462" i="18"/>
  <c r="F55" i="13"/>
  <c r="E55" i="13"/>
  <c r="D130" i="13"/>
  <c r="E130" i="13" s="1"/>
  <c r="I130" i="13" s="1"/>
  <c r="F130" i="13"/>
  <c r="B35" i="18"/>
  <c r="B29" i="18"/>
  <c r="D73" i="13"/>
  <c r="D70" i="13"/>
  <c r="D69" i="13"/>
  <c r="D50" i="13"/>
  <c r="D49" i="13"/>
  <c r="D97" i="13"/>
  <c r="F47" i="13"/>
  <c r="D47" i="13"/>
  <c r="E47" i="13" s="1"/>
  <c r="I47" i="13" s="1"/>
  <c r="D22" i="13"/>
  <c r="I131" i="13" l="1"/>
  <c r="D625" i="18"/>
  <c r="E625" i="18" s="1"/>
  <c r="D610" i="18"/>
  <c r="E610" i="18" s="1"/>
  <c r="I55" i="13"/>
  <c r="D462" i="18" s="1"/>
  <c r="E462" i="18" s="1"/>
  <c r="I126" i="13"/>
  <c r="D475" i="18" s="1"/>
  <c r="E475" i="18" s="1"/>
  <c r="F114" i="13" l="1"/>
  <c r="F113" i="13"/>
  <c r="F112" i="13"/>
  <c r="F111" i="13"/>
  <c r="F110" i="13"/>
  <c r="F109" i="13"/>
  <c r="F108" i="13"/>
  <c r="F107" i="13"/>
  <c r="F101" i="13"/>
  <c r="F99" i="13"/>
  <c r="F98" i="13"/>
  <c r="F86" i="13"/>
  <c r="F85" i="13"/>
  <c r="F84" i="13"/>
  <c r="F83" i="13"/>
  <c r="F81" i="13"/>
  <c r="F79" i="13"/>
  <c r="F78" i="13"/>
  <c r="F77" i="13"/>
  <c r="F72" i="13"/>
  <c r="F64" i="13"/>
  <c r="F46" i="13"/>
  <c r="F38" i="13"/>
  <c r="F37" i="13"/>
  <c r="F36" i="13"/>
  <c r="F24" i="13"/>
  <c r="F21" i="13"/>
  <c r="F17" i="13"/>
  <c r="F15" i="13"/>
  <c r="F14" i="13"/>
  <c r="F13" i="13"/>
  <c r="F12" i="13"/>
  <c r="F11" i="13"/>
  <c r="F7" i="13"/>
  <c r="F6" i="13"/>
  <c r="F129" i="13"/>
  <c r="F128" i="13"/>
  <c r="F127" i="13"/>
  <c r="F124" i="13"/>
  <c r="F123" i="13"/>
  <c r="F122" i="13"/>
  <c r="F121" i="13"/>
  <c r="F120" i="13"/>
  <c r="F119" i="13"/>
  <c r="F118" i="13"/>
  <c r="F117" i="13"/>
  <c r="F116" i="13"/>
  <c r="F115" i="13"/>
  <c r="F106" i="13"/>
  <c r="F105" i="13"/>
  <c r="F104" i="13"/>
  <c r="F103" i="13"/>
  <c r="F102" i="13"/>
  <c r="F100" i="13"/>
  <c r="F97" i="13"/>
  <c r="F96" i="13"/>
  <c r="F95" i="13"/>
  <c r="F94" i="13"/>
  <c r="F93" i="13"/>
  <c r="F92" i="13"/>
  <c r="F91" i="13"/>
  <c r="F90" i="13"/>
  <c r="F89" i="13"/>
  <c r="F88" i="13"/>
  <c r="F87" i="13"/>
  <c r="F82" i="13"/>
  <c r="F80" i="13"/>
  <c r="F76" i="13"/>
  <c r="F75" i="13"/>
  <c r="F74" i="13"/>
  <c r="F73" i="13"/>
  <c r="F71" i="13"/>
  <c r="F70" i="13"/>
  <c r="F69" i="13"/>
  <c r="F68" i="13"/>
  <c r="F67" i="13"/>
  <c r="F66" i="13"/>
  <c r="F65" i="13"/>
  <c r="F63" i="13"/>
  <c r="F62" i="13"/>
  <c r="F61" i="13"/>
  <c r="F60" i="13"/>
  <c r="F59" i="13"/>
  <c r="F58" i="13"/>
  <c r="F57" i="13"/>
  <c r="F56" i="13"/>
  <c r="F54" i="13"/>
  <c r="F53" i="13"/>
  <c r="F52" i="13"/>
  <c r="F51" i="13"/>
  <c r="F48" i="13"/>
  <c r="F45" i="13"/>
  <c r="F44" i="13"/>
  <c r="F43" i="13"/>
  <c r="F42" i="13"/>
  <c r="F41" i="13"/>
  <c r="F40" i="13"/>
  <c r="F39" i="13"/>
  <c r="F35" i="13"/>
  <c r="F34" i="13"/>
  <c r="F33" i="13"/>
  <c r="F32" i="13"/>
  <c r="F31" i="13"/>
  <c r="F30" i="13"/>
  <c r="F29" i="13"/>
  <c r="F28" i="13"/>
  <c r="F27" i="13"/>
  <c r="F26" i="13"/>
  <c r="F25" i="13"/>
  <c r="F22" i="13"/>
  <c r="F20" i="13"/>
  <c r="F19" i="13"/>
  <c r="F18" i="13"/>
  <c r="F16" i="13"/>
  <c r="F10" i="13"/>
  <c r="F9" i="13"/>
  <c r="F8" i="13"/>
  <c r="D103" i="13"/>
  <c r="D87" i="13"/>
  <c r="D85" i="13"/>
  <c r="D59" i="13"/>
  <c r="D84" i="13"/>
  <c r="D82" i="13"/>
  <c r="D58" i="13"/>
  <c r="D76" i="13" l="1"/>
  <c r="D75" i="13"/>
  <c r="D74" i="13"/>
  <c r="D68" i="13"/>
  <c r="D65" i="13"/>
  <c r="D64" i="13"/>
  <c r="D63" i="13"/>
  <c r="D62" i="13"/>
  <c r="D61" i="13"/>
  <c r="D53" i="13"/>
  <c r="D52" i="13"/>
  <c r="D51" i="13"/>
  <c r="D127" i="13"/>
  <c r="E127" i="13" s="1"/>
  <c r="I127" i="13" s="1"/>
  <c r="D129" i="13"/>
  <c r="E129" i="13" s="1"/>
  <c r="I129" i="13" s="1"/>
  <c r="D29" i="18" s="1"/>
  <c r="E29" i="18" s="1"/>
  <c r="E33" i="18" s="1"/>
  <c r="E34" i="18" s="1"/>
  <c r="D128" i="13"/>
  <c r="E128" i="13" s="1"/>
  <c r="I128" i="13" s="1"/>
  <c r="D124" i="13"/>
  <c r="E124" i="13" s="1"/>
  <c r="I124" i="13" s="1"/>
  <c r="D123" i="13"/>
  <c r="E123" i="13"/>
  <c r="I123" i="13" s="1"/>
  <c r="D122" i="13"/>
  <c r="E122" i="13" s="1"/>
  <c r="I122" i="13" s="1"/>
  <c r="D48" i="13" l="1"/>
  <c r="D121" i="13"/>
  <c r="E121" i="13" s="1"/>
  <c r="I121" i="13" s="1"/>
  <c r="E8" i="31" l="1"/>
  <c r="E79" i="43" s="1"/>
  <c r="E81" i="43" s="1"/>
  <c r="E8" i="43" s="1"/>
  <c r="C8" i="31"/>
  <c r="D120" i="13"/>
  <c r="E120" i="13" s="1"/>
  <c r="I120" i="13" s="1"/>
  <c r="D106" i="13" l="1"/>
  <c r="D119" i="13"/>
  <c r="E119" i="13" s="1"/>
  <c r="I119" i="13" s="1"/>
  <c r="D118" i="13"/>
  <c r="E118" i="13" s="1"/>
  <c r="I118" i="13" s="1"/>
  <c r="D117" i="13"/>
  <c r="E117" i="13" s="1"/>
  <c r="I117" i="13" s="1"/>
  <c r="D116" i="13"/>
  <c r="E116" i="13" s="1"/>
  <c r="I116" i="13" s="1"/>
  <c r="E115" i="13"/>
  <c r="I115" i="13" s="1"/>
  <c r="E114" i="13"/>
  <c r="I114" i="13" s="1"/>
  <c r="E113" i="13"/>
  <c r="I113" i="13" s="1"/>
  <c r="E112" i="13"/>
  <c r="I112" i="13" s="1"/>
  <c r="E108" i="13"/>
  <c r="I108" i="13" s="1"/>
  <c r="E107" i="13"/>
  <c r="I107" i="13" s="1"/>
  <c r="E111" i="13"/>
  <c r="I111" i="13" s="1"/>
  <c r="E110" i="13"/>
  <c r="I110" i="13" s="1"/>
  <c r="E109" i="13"/>
  <c r="I109" i="13" s="1"/>
  <c r="D16" i="23" l="1"/>
  <c r="D24" i="32"/>
  <c r="B371" i="18"/>
  <c r="B366" i="18"/>
  <c r="B365" i="18"/>
  <c r="B364" i="18"/>
  <c r="B363" i="18"/>
  <c r="B362" i="18"/>
  <c r="B361" i="18"/>
  <c r="B360" i="18"/>
  <c r="E20" i="33" l="1"/>
  <c r="E14" i="33"/>
  <c r="E12" i="33"/>
  <c r="K8" i="31" s="1"/>
  <c r="E23" i="32"/>
  <c r="E19" i="32"/>
  <c r="E14" i="32"/>
  <c r="E12" i="32"/>
  <c r="I8" i="31" s="1"/>
  <c r="I12" i="31" s="1"/>
  <c r="D20" i="33"/>
  <c r="B247" i="18"/>
  <c r="B241" i="18"/>
  <c r="E11" i="32"/>
  <c r="E8" i="32"/>
  <c r="E23" i="33"/>
  <c r="D24" i="33"/>
  <c r="D23" i="33"/>
  <c r="D22" i="33"/>
  <c r="D21" i="33"/>
  <c r="D19" i="33"/>
  <c r="D18" i="33"/>
  <c r="D17" i="33"/>
  <c r="D16" i="33"/>
  <c r="D15" i="33"/>
  <c r="D14" i="33"/>
  <c r="D13" i="33"/>
  <c r="D12" i="33"/>
  <c r="D11" i="33"/>
  <c r="D10" i="33"/>
  <c r="D9" i="33"/>
  <c r="D8" i="33"/>
  <c r="D25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K12" i="31" l="1"/>
  <c r="E103" i="43"/>
  <c r="E105" i="43" s="1"/>
  <c r="E10" i="43" s="1"/>
  <c r="D20" i="24"/>
  <c r="B703" i="18"/>
  <c r="B698" i="18"/>
  <c r="B103" i="18"/>
  <c r="E506" i="18"/>
  <c r="E479" i="18"/>
  <c r="E14" i="30" l="1"/>
  <c r="E21" i="29"/>
  <c r="E20" i="29"/>
  <c r="E19" i="29"/>
  <c r="E17" i="29"/>
  <c r="E14" i="29"/>
  <c r="E12" i="29"/>
  <c r="G8" i="31" s="1"/>
  <c r="E91" i="43" s="1"/>
  <c r="E93" i="43" s="1"/>
  <c r="E9" i="43" s="1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E1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E23" i="25"/>
  <c r="E22" i="25"/>
  <c r="E21" i="25"/>
  <c r="E20" i="25"/>
  <c r="E19" i="25"/>
  <c r="E17" i="25"/>
  <c r="E15" i="25"/>
  <c r="E14" i="25"/>
  <c r="E13" i="25"/>
  <c r="E12" i="25"/>
  <c r="E11" i="25"/>
  <c r="E9" i="25"/>
  <c r="E8" i="25"/>
  <c r="E23" i="24"/>
  <c r="E22" i="24"/>
  <c r="E21" i="24"/>
  <c r="E19" i="24"/>
  <c r="E18" i="24"/>
  <c r="E17" i="24"/>
  <c r="E15" i="24"/>
  <c r="E14" i="24"/>
  <c r="E13" i="24"/>
  <c r="E12" i="24"/>
  <c r="E11" i="24"/>
  <c r="E9" i="24"/>
  <c r="E8" i="24"/>
  <c r="E106" i="13"/>
  <c r="I106" i="13" s="1"/>
  <c r="E105" i="13"/>
  <c r="I105" i="13" s="1"/>
  <c r="D104" i="13"/>
  <c r="E104" i="13" s="1"/>
  <c r="I104" i="13" s="1"/>
  <c r="J26" i="27"/>
  <c r="I15" i="27"/>
  <c r="I12" i="27"/>
  <c r="I11" i="27"/>
  <c r="I10" i="27"/>
  <c r="I9" i="27"/>
  <c r="A14" i="27"/>
  <c r="J27" i="27"/>
  <c r="J28" i="27"/>
  <c r="J25" i="27"/>
  <c r="D13" i="27"/>
  <c r="D12" i="27"/>
  <c r="D11" i="27"/>
  <c r="F11" i="27" s="1"/>
  <c r="D10" i="27"/>
  <c r="F10" i="27" s="1"/>
  <c r="D9" i="27"/>
  <c r="F9" i="27" s="1"/>
  <c r="E13" i="27"/>
  <c r="E12" i="27"/>
  <c r="E11" i="27"/>
  <c r="D102" i="13"/>
  <c r="D100" i="13"/>
  <c r="D96" i="13"/>
  <c r="D92" i="13"/>
  <c r="D91" i="13"/>
  <c r="D93" i="13"/>
  <c r="D90" i="13"/>
  <c r="D89" i="13"/>
  <c r="F12" i="27" l="1"/>
  <c r="F13" i="27"/>
  <c r="I14" i="27"/>
  <c r="G7" i="31"/>
  <c r="G12" i="31" s="1"/>
  <c r="E7" i="31"/>
  <c r="E12" i="31" s="1"/>
  <c r="F37" i="27"/>
  <c r="F35" i="27"/>
  <c r="F36" i="27" s="1"/>
  <c r="F34" i="27"/>
  <c r="K14" i="27"/>
  <c r="F45" i="27" l="1"/>
  <c r="F46" i="27" s="1"/>
  <c r="G7" i="27" s="1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23" i="24"/>
  <c r="D22" i="24"/>
  <c r="D21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E21" i="23"/>
  <c r="E14" i="23"/>
  <c r="E12" i="23"/>
  <c r="C7" i="31" s="1"/>
  <c r="B690" i="18"/>
  <c r="B685" i="18"/>
  <c r="B595" i="18"/>
  <c r="E87" i="13"/>
  <c r="E41" i="13"/>
  <c r="B592" i="18"/>
  <c r="E62" i="13"/>
  <c r="B601" i="18"/>
  <c r="B597" i="18"/>
  <c r="B596" i="18"/>
  <c r="B594" i="18"/>
  <c r="B593" i="18"/>
  <c r="B591" i="18"/>
  <c r="B590" i="18"/>
  <c r="B589" i="18"/>
  <c r="B588" i="18"/>
  <c r="B587" i="18"/>
  <c r="B586" i="18"/>
  <c r="B585" i="18"/>
  <c r="B584" i="18"/>
  <c r="B583" i="18"/>
  <c r="B582" i="18"/>
  <c r="B581" i="18"/>
  <c r="B580" i="18"/>
  <c r="B579" i="18"/>
  <c r="B578" i="18"/>
  <c r="B577" i="18"/>
  <c r="B576" i="18"/>
  <c r="B639" i="18"/>
  <c r="E19" i="13"/>
  <c r="E70" i="13"/>
  <c r="B650" i="18"/>
  <c r="B658" i="18"/>
  <c r="B659" i="18"/>
  <c r="B632" i="18"/>
  <c r="E630" i="18"/>
  <c r="E20" i="13"/>
  <c r="B677" i="18"/>
  <c r="B672" i="18"/>
  <c r="B617" i="18"/>
  <c r="E615" i="18"/>
  <c r="B569" i="18"/>
  <c r="B565" i="18"/>
  <c r="B564" i="18"/>
  <c r="B563" i="18"/>
  <c r="B562" i="18"/>
  <c r="B561" i="18"/>
  <c r="B560" i="18"/>
  <c r="B559" i="18"/>
  <c r="B558" i="18"/>
  <c r="B557" i="18"/>
  <c r="B556" i="18"/>
  <c r="B555" i="18"/>
  <c r="B554" i="18"/>
  <c r="B553" i="18"/>
  <c r="B552" i="18"/>
  <c r="B551" i="18"/>
  <c r="B550" i="18"/>
  <c r="B549" i="18"/>
  <c r="B548" i="18"/>
  <c r="B547" i="18"/>
  <c r="B546" i="18"/>
  <c r="E7" i="13"/>
  <c r="E93" i="13"/>
  <c r="E40" i="13"/>
  <c r="E75" i="13"/>
  <c r="E16" i="13"/>
  <c r="E23" i="13"/>
  <c r="E22" i="13"/>
  <c r="E69" i="13"/>
  <c r="E66" i="13"/>
  <c r="E30" i="13"/>
  <c r="E89" i="13"/>
  <c r="E60" i="13"/>
  <c r="E59" i="13"/>
  <c r="E28" i="13"/>
  <c r="E84" i="13"/>
  <c r="E11" i="13"/>
  <c r="B535" i="18"/>
  <c r="B534" i="18"/>
  <c r="B533" i="18"/>
  <c r="B532" i="18"/>
  <c r="B531" i="18"/>
  <c r="B530" i="18"/>
  <c r="B529" i="18"/>
  <c r="B528" i="18"/>
  <c r="B527" i="18"/>
  <c r="B526" i="18"/>
  <c r="B525" i="18"/>
  <c r="B524" i="18"/>
  <c r="B523" i="18"/>
  <c r="B522" i="18"/>
  <c r="B521" i="18"/>
  <c r="B520" i="18"/>
  <c r="B519" i="18"/>
  <c r="B518" i="18"/>
  <c r="B517" i="18"/>
  <c r="B516" i="18"/>
  <c r="E80" i="13"/>
  <c r="B664" i="18"/>
  <c r="B539" i="18"/>
  <c r="B508" i="18"/>
  <c r="B495" i="18"/>
  <c r="B490" i="18"/>
  <c r="E66" i="43" l="1"/>
  <c r="E68" i="43" s="1"/>
  <c r="E5" i="43" s="1"/>
  <c r="E52" i="43"/>
  <c r="E54" i="43" s="1"/>
  <c r="E4" i="43" s="1"/>
  <c r="E38" i="43"/>
  <c r="E40" i="43" s="1"/>
  <c r="E3" i="43" s="1"/>
  <c r="C12" i="31"/>
  <c r="L12" i="31" s="1"/>
  <c r="D15" i="31" s="1"/>
  <c r="I11" i="13"/>
  <c r="D516" i="18" s="1"/>
  <c r="E516" i="18" s="1"/>
  <c r="I60" i="13"/>
  <c r="D550" i="18" s="1"/>
  <c r="E550" i="18" s="1"/>
  <c r="I69" i="13"/>
  <c r="I75" i="13"/>
  <c r="D560" i="18" s="1"/>
  <c r="E560" i="18" s="1"/>
  <c r="I70" i="13"/>
  <c r="D639" i="18" s="1"/>
  <c r="E639" i="18" s="1"/>
  <c r="I89" i="13"/>
  <c r="D521" i="18" s="1"/>
  <c r="E521" i="18" s="1"/>
  <c r="I22" i="13"/>
  <c r="I40" i="13"/>
  <c r="D591" i="18" s="1"/>
  <c r="E591" i="18" s="1"/>
  <c r="I87" i="13"/>
  <c r="D595" i="18" s="1"/>
  <c r="E595" i="18" s="1"/>
  <c r="I84" i="13"/>
  <c r="I19" i="13"/>
  <c r="I80" i="13"/>
  <c r="D658" i="18" s="1"/>
  <c r="E658" i="18" s="1"/>
  <c r="I28" i="13"/>
  <c r="D548" i="18" s="1"/>
  <c r="E548" i="18" s="1"/>
  <c r="I30" i="13"/>
  <c r="D522" i="18" s="1"/>
  <c r="E522" i="18" s="1"/>
  <c r="I23" i="13"/>
  <c r="D587" i="18" s="1"/>
  <c r="E587" i="18" s="1"/>
  <c r="I93" i="13"/>
  <c r="I20" i="13"/>
  <c r="D672" i="18" s="1"/>
  <c r="E672" i="18" s="1"/>
  <c r="E675" i="18" s="1"/>
  <c r="E676" i="18" s="1"/>
  <c r="I62" i="13"/>
  <c r="D580" i="18" s="1"/>
  <c r="E580" i="18" s="1"/>
  <c r="I41" i="13"/>
  <c r="D592" i="18" s="1"/>
  <c r="E592" i="18" s="1"/>
  <c r="I59" i="13"/>
  <c r="I66" i="13"/>
  <c r="D553" i="18" s="1"/>
  <c r="E553" i="18" s="1"/>
  <c r="I16" i="13"/>
  <c r="D529" i="18" s="1"/>
  <c r="E529" i="18" s="1"/>
  <c r="I7" i="13"/>
  <c r="D534" i="18" s="1"/>
  <c r="E534" i="18" s="1"/>
  <c r="G11" i="27"/>
  <c r="H11" i="27" s="1"/>
  <c r="K11" i="27" s="1"/>
  <c r="G13" i="27"/>
  <c r="H13" i="27" s="1"/>
  <c r="K13" i="27" s="1"/>
  <c r="G9" i="27"/>
  <c r="H9" i="27" s="1"/>
  <c r="K9" i="27" s="1"/>
  <c r="K17" i="27" s="1"/>
  <c r="G10" i="27"/>
  <c r="H10" i="27" s="1"/>
  <c r="K10" i="27" s="1"/>
  <c r="G12" i="27"/>
  <c r="H12" i="27" s="1"/>
  <c r="K12" i="27" s="1"/>
  <c r="D546" i="18"/>
  <c r="E546" i="18" s="1"/>
  <c r="D554" i="18"/>
  <c r="E554" i="18" s="1"/>
  <c r="D556" i="18"/>
  <c r="E556" i="18" s="1"/>
  <c r="D582" i="18"/>
  <c r="E582" i="18" s="1"/>
  <c r="D584" i="18"/>
  <c r="E584" i="18" s="1"/>
  <c r="D581" i="18"/>
  <c r="E581" i="18" s="1"/>
  <c r="D576" i="18"/>
  <c r="E576" i="18" s="1"/>
  <c r="E631" i="18"/>
  <c r="E616" i="18"/>
  <c r="E507" i="18"/>
  <c r="D577" i="18" l="1"/>
  <c r="E577" i="18" s="1"/>
  <c r="D640" i="18"/>
  <c r="E640" i="18" s="1"/>
  <c r="E648" i="18" s="1"/>
  <c r="E649" i="18" s="1"/>
  <c r="D559" i="18"/>
  <c r="E559" i="18" s="1"/>
  <c r="D551" i="18"/>
  <c r="E551" i="18" s="1"/>
  <c r="D519" i="18"/>
  <c r="E519" i="18" s="1"/>
  <c r="D641" i="18"/>
  <c r="E641" i="18" s="1"/>
  <c r="D563" i="18"/>
  <c r="E563" i="18" s="1"/>
  <c r="D643" i="18"/>
  <c r="E643" i="18" s="1"/>
  <c r="D526" i="18"/>
  <c r="E526" i="18" s="1"/>
  <c r="D642" i="18"/>
  <c r="E642" i="18" s="1"/>
  <c r="D524" i="18"/>
  <c r="E524" i="18" s="1"/>
  <c r="D586" i="18"/>
  <c r="E586" i="18" s="1"/>
  <c r="D596" i="18"/>
  <c r="E596" i="18" s="1"/>
  <c r="D594" i="18"/>
  <c r="E594" i="18" s="1"/>
  <c r="D557" i="18"/>
  <c r="E557" i="18" s="1"/>
  <c r="D579" i="18"/>
  <c r="E579" i="18" s="1"/>
  <c r="D589" i="18"/>
  <c r="E589" i="18" s="1"/>
  <c r="D561" i="18"/>
  <c r="E561" i="18" s="1"/>
  <c r="D549" i="18"/>
  <c r="E549" i="18" s="1"/>
  <c r="D527" i="18"/>
  <c r="E527" i="18" s="1"/>
  <c r="D564" i="18"/>
  <c r="E564" i="18" s="1"/>
  <c r="D578" i="18"/>
  <c r="E578" i="18" s="1"/>
  <c r="D523" i="18"/>
  <c r="E523" i="18" s="1"/>
  <c r="D518" i="18"/>
  <c r="E518" i="18" s="1"/>
  <c r="D583" i="18"/>
  <c r="E583" i="18" s="1"/>
  <c r="D552" i="18"/>
  <c r="E552" i="18" s="1"/>
  <c r="D517" i="18"/>
  <c r="E517" i="18" s="1"/>
  <c r="D531" i="18"/>
  <c r="E531" i="18" s="1"/>
  <c r="D530" i="18"/>
  <c r="E530" i="18" s="1"/>
  <c r="D520" i="18"/>
  <c r="E520" i="18" s="1"/>
  <c r="D547" i="18"/>
  <c r="E547" i="18" s="1"/>
  <c r="D533" i="18"/>
  <c r="E533" i="18" s="1"/>
  <c r="D590" i="18"/>
  <c r="E590" i="18" s="1"/>
  <c r="K18" i="27"/>
  <c r="K20" i="27" s="1"/>
  <c r="K22" i="27" s="1"/>
  <c r="E56" i="13"/>
  <c r="I56" i="13" s="1"/>
  <c r="E72" i="13"/>
  <c r="I72" i="13" s="1"/>
  <c r="B84" i="18"/>
  <c r="E39" i="13"/>
  <c r="B82" i="18"/>
  <c r="B81" i="18"/>
  <c r="B80" i="18"/>
  <c r="E74" i="13"/>
  <c r="E73" i="13"/>
  <c r="B83" i="18"/>
  <c r="D20" i="23"/>
  <c r="D18" i="23"/>
  <c r="B481" i="18"/>
  <c r="B467" i="18"/>
  <c r="B454" i="18"/>
  <c r="B450" i="18"/>
  <c r="B449" i="18"/>
  <c r="B448" i="18"/>
  <c r="B447" i="18"/>
  <c r="B446" i="18"/>
  <c r="B445" i="18"/>
  <c r="B444" i="18"/>
  <c r="B443" i="18"/>
  <c r="B442" i="18"/>
  <c r="B441" i="18"/>
  <c r="B429" i="18"/>
  <c r="B428" i="18"/>
  <c r="B424" i="18"/>
  <c r="B433" i="18"/>
  <c r="B427" i="18"/>
  <c r="B426" i="18"/>
  <c r="B425" i="18"/>
  <c r="B423" i="18"/>
  <c r="B422" i="18"/>
  <c r="B421" i="18"/>
  <c r="B420" i="18"/>
  <c r="B419" i="18"/>
  <c r="B16" i="18"/>
  <c r="D25" i="23"/>
  <c r="D24" i="23"/>
  <c r="D23" i="23"/>
  <c r="B387" i="18"/>
  <c r="B386" i="18"/>
  <c r="B406" i="18"/>
  <c r="B405" i="18"/>
  <c r="B404" i="18"/>
  <c r="B403" i="18"/>
  <c r="B402" i="18"/>
  <c r="B401" i="18"/>
  <c r="B400" i="18"/>
  <c r="B399" i="18"/>
  <c r="B381" i="18"/>
  <c r="B380" i="18"/>
  <c r="B379" i="18"/>
  <c r="B378" i="18"/>
  <c r="B385" i="18"/>
  <c r="B384" i="18"/>
  <c r="B383" i="18"/>
  <c r="B382" i="18"/>
  <c r="B411" i="18"/>
  <c r="E8" i="13"/>
  <c r="I8" i="13" s="1"/>
  <c r="E103" i="13"/>
  <c r="I103" i="13" s="1"/>
  <c r="E79" i="13"/>
  <c r="E26" i="13"/>
  <c r="I26" i="13" s="1"/>
  <c r="E61" i="13"/>
  <c r="I61" i="13" s="1"/>
  <c r="E65" i="13"/>
  <c r="I65" i="13" s="1"/>
  <c r="E102" i="13"/>
  <c r="I102" i="13" s="1"/>
  <c r="E10" i="13"/>
  <c r="I10" i="13" s="1"/>
  <c r="B310" i="18"/>
  <c r="B321" i="18"/>
  <c r="B320" i="18"/>
  <c r="B319" i="18"/>
  <c r="B318" i="18"/>
  <c r="B317" i="18"/>
  <c r="B316" i="18"/>
  <c r="B315" i="18"/>
  <c r="B314" i="18"/>
  <c r="B313" i="18"/>
  <c r="B312" i="18"/>
  <c r="B311" i="18"/>
  <c r="E6" i="13"/>
  <c r="E91" i="13"/>
  <c r="E92" i="13"/>
  <c r="I92" i="13" s="1"/>
  <c r="E57" i="13"/>
  <c r="E81" i="13"/>
  <c r="E76" i="13"/>
  <c r="E100" i="13"/>
  <c r="E88" i="13"/>
  <c r="E63" i="13"/>
  <c r="E51" i="13"/>
  <c r="E44" i="13"/>
  <c r="E9" i="13"/>
  <c r="D313" i="18" l="1"/>
  <c r="E313" i="18" s="1"/>
  <c r="I63" i="13"/>
  <c r="I81" i="13"/>
  <c r="D317" i="18" s="1"/>
  <c r="E317" i="18" s="1"/>
  <c r="I6" i="13"/>
  <c r="D321" i="18" s="1"/>
  <c r="E321" i="18" s="1"/>
  <c r="I51" i="13"/>
  <c r="D312" i="18" s="1"/>
  <c r="E312" i="18" s="1"/>
  <c r="I76" i="13"/>
  <c r="D316" i="18" s="1"/>
  <c r="E316" i="18" s="1"/>
  <c r="I91" i="13"/>
  <c r="D320" i="18" s="1"/>
  <c r="E320" i="18" s="1"/>
  <c r="I9" i="13"/>
  <c r="D310" i="18" s="1"/>
  <c r="E310" i="18" s="1"/>
  <c r="I88" i="13"/>
  <c r="D314" i="18" s="1"/>
  <c r="E314" i="18" s="1"/>
  <c r="I57" i="13"/>
  <c r="D318" i="18" s="1"/>
  <c r="E318" i="18" s="1"/>
  <c r="I73" i="13"/>
  <c r="D81" i="18" s="1"/>
  <c r="E81" i="18" s="1"/>
  <c r="I44" i="13"/>
  <c r="D311" i="18" s="1"/>
  <c r="E311" i="18" s="1"/>
  <c r="I100" i="13"/>
  <c r="D525" i="18" s="1"/>
  <c r="E525" i="18" s="1"/>
  <c r="I79" i="13"/>
  <c r="D447" i="18" s="1"/>
  <c r="E447" i="18" s="1"/>
  <c r="I74" i="13"/>
  <c r="D82" i="18" s="1"/>
  <c r="E82" i="18" s="1"/>
  <c r="I39" i="13"/>
  <c r="D84" i="18" s="1"/>
  <c r="E84" i="18" s="1"/>
  <c r="D401" i="18"/>
  <c r="E401" i="18" s="1"/>
  <c r="D362" i="18"/>
  <c r="E362" i="18" s="1"/>
  <c r="D405" i="18"/>
  <c r="E405" i="18" s="1"/>
  <c r="D365" i="18"/>
  <c r="E365" i="18" s="1"/>
  <c r="D444" i="18"/>
  <c r="E444" i="18" s="1"/>
  <c r="D363" i="18"/>
  <c r="E363" i="18" s="1"/>
  <c r="D386" i="18"/>
  <c r="E386" i="18" s="1"/>
  <c r="D366" i="18"/>
  <c r="E366" i="18" s="1"/>
  <c r="D403" i="18"/>
  <c r="E403" i="18" s="1"/>
  <c r="D364" i="18"/>
  <c r="E364" i="18" s="1"/>
  <c r="D399" i="18"/>
  <c r="E399" i="18" s="1"/>
  <c r="D360" i="18"/>
  <c r="E360" i="18" s="1"/>
  <c r="D442" i="18"/>
  <c r="E442" i="18" s="1"/>
  <c r="D361" i="18"/>
  <c r="E361" i="18" s="1"/>
  <c r="K25" i="27"/>
  <c r="F5" i="13" s="1"/>
  <c r="K26" i="27"/>
  <c r="K28" i="27"/>
  <c r="K27" i="27"/>
  <c r="D428" i="18"/>
  <c r="E428" i="18" s="1"/>
  <c r="D443" i="18"/>
  <c r="E443" i="18" s="1"/>
  <c r="D449" i="18"/>
  <c r="E449" i="18" s="1"/>
  <c r="D421" i="18"/>
  <c r="E421" i="18" s="1"/>
  <c r="D426" i="18"/>
  <c r="E426" i="18" s="1"/>
  <c r="D562" i="18"/>
  <c r="E562" i="18" s="1"/>
  <c r="D593" i="18"/>
  <c r="E593" i="18" s="1"/>
  <c r="D532" i="18"/>
  <c r="E532" i="18" s="1"/>
  <c r="D319" i="18"/>
  <c r="E319" i="18" s="1"/>
  <c r="D423" i="18"/>
  <c r="E423" i="18" s="1"/>
  <c r="D441" i="18"/>
  <c r="E441" i="18" s="1"/>
  <c r="D558" i="18"/>
  <c r="E558" i="18" s="1"/>
  <c r="D385" i="18"/>
  <c r="E385" i="18" s="1"/>
  <c r="D379" i="18"/>
  <c r="E379" i="18" s="1"/>
  <c r="D381" i="18"/>
  <c r="E381" i="18" s="1"/>
  <c r="D400" i="18"/>
  <c r="E400" i="18" s="1"/>
  <c r="D402" i="18"/>
  <c r="E402" i="18" s="1"/>
  <c r="D406" i="18"/>
  <c r="E406" i="18" s="1"/>
  <c r="D585" i="18"/>
  <c r="E585" i="18" s="1"/>
  <c r="D420" i="18"/>
  <c r="E420" i="18" s="1"/>
  <c r="D422" i="18"/>
  <c r="E422" i="18" s="1"/>
  <c r="D427" i="18"/>
  <c r="E427" i="18" s="1"/>
  <c r="D448" i="18"/>
  <c r="E448" i="18" s="1"/>
  <c r="D450" i="18"/>
  <c r="E450" i="18" s="1"/>
  <c r="D419" i="18"/>
  <c r="E419" i="18" s="1"/>
  <c r="D445" i="18"/>
  <c r="E445" i="18" s="1"/>
  <c r="D382" i="18"/>
  <c r="E382" i="18" s="1"/>
  <c r="D384" i="18"/>
  <c r="E384" i="18" s="1"/>
  <c r="D378" i="18"/>
  <c r="E378" i="18" s="1"/>
  <c r="D380" i="18"/>
  <c r="E380" i="18" s="1"/>
  <c r="E480" i="18"/>
  <c r="E369" i="18" l="1"/>
  <c r="E370" i="18" s="1"/>
  <c r="D383" i="18"/>
  <c r="E383" i="18" s="1"/>
  <c r="D425" i="18"/>
  <c r="E425" i="18" s="1"/>
  <c r="D528" i="18"/>
  <c r="E528" i="18" s="1"/>
  <c r="D404" i="18"/>
  <c r="E404" i="18" s="1"/>
  <c r="D588" i="18"/>
  <c r="E588" i="18" s="1"/>
  <c r="D446" i="18"/>
  <c r="E446" i="18" s="1"/>
  <c r="E452" i="18" s="1"/>
  <c r="D555" i="18"/>
  <c r="E555" i="18" s="1"/>
  <c r="D315" i="18"/>
  <c r="E315" i="18" s="1"/>
  <c r="E324" i="18" s="1"/>
  <c r="D424" i="18"/>
  <c r="E424" i="18" s="1"/>
  <c r="E409" i="18" l="1"/>
  <c r="E410" i="18" s="1"/>
  <c r="E453" i="18"/>
  <c r="B391" i="18"/>
  <c r="E50" i="13"/>
  <c r="E38" i="13"/>
  <c r="I38" i="13" s="1"/>
  <c r="D154" i="18" s="1"/>
  <c r="E154" i="18" s="1"/>
  <c r="B153" i="18"/>
  <c r="B152" i="18"/>
  <c r="D13" i="23"/>
  <c r="B159" i="18"/>
  <c r="B154" i="18"/>
  <c r="B151" i="18"/>
  <c r="B150" i="18"/>
  <c r="B149" i="18"/>
  <c r="C148" i="18"/>
  <c r="B148" i="18"/>
  <c r="B147" i="18"/>
  <c r="B146" i="18"/>
  <c r="B145" i="18"/>
  <c r="B144" i="18"/>
  <c r="B143" i="18"/>
  <c r="C104" i="18"/>
  <c r="C126" i="18"/>
  <c r="B125" i="18"/>
  <c r="E12" i="13"/>
  <c r="I12" i="13" s="1"/>
  <c r="B130" i="18"/>
  <c r="E85" i="13"/>
  <c r="I85" i="13" s="1"/>
  <c r="E86" i="13"/>
  <c r="E15" i="13"/>
  <c r="I15" i="13" s="1"/>
  <c r="E14" i="13"/>
  <c r="D12" i="23"/>
  <c r="B136" i="18"/>
  <c r="B131" i="18"/>
  <c r="B129" i="18"/>
  <c r="B128" i="18"/>
  <c r="B127" i="18"/>
  <c r="B126" i="18"/>
  <c r="B124" i="18"/>
  <c r="B123" i="18"/>
  <c r="B122" i="18"/>
  <c r="B121" i="18"/>
  <c r="B15" i="18"/>
  <c r="D153" i="18" l="1"/>
  <c r="E153" i="18" s="1"/>
  <c r="I86" i="13"/>
  <c r="I50" i="13"/>
  <c r="D147" i="18" s="1"/>
  <c r="E147" i="18" s="1"/>
  <c r="I14" i="13"/>
  <c r="D152" i="18" s="1"/>
  <c r="E152" i="18" s="1"/>
  <c r="D127" i="18"/>
  <c r="E127" i="18" s="1"/>
  <c r="D149" i="18"/>
  <c r="E149" i="18" s="1"/>
  <c r="D130" i="18"/>
  <c r="E130" i="18" s="1"/>
  <c r="D16" i="18"/>
  <c r="E16" i="18" s="1"/>
  <c r="D19" i="23"/>
  <c r="B346" i="18"/>
  <c r="B352" i="18"/>
  <c r="D26" i="23"/>
  <c r="D22" i="23"/>
  <c r="D21" i="23"/>
  <c r="D17" i="23"/>
  <c r="D15" i="23"/>
  <c r="D14" i="23"/>
  <c r="D11" i="23"/>
  <c r="D10" i="23"/>
  <c r="D9" i="23"/>
  <c r="D8" i="23"/>
  <c r="B339" i="18" l="1"/>
  <c r="B333" i="18"/>
  <c r="B326" i="18"/>
  <c r="B303" i="18"/>
  <c r="B297" i="18"/>
  <c r="B296" i="18"/>
  <c r="E71" i="13"/>
  <c r="B283" i="18"/>
  <c r="E78" i="13"/>
  <c r="E77" i="13"/>
  <c r="B289" i="18"/>
  <c r="B282" i="18"/>
  <c r="B270" i="18"/>
  <c r="E95" i="13"/>
  <c r="B275" i="18"/>
  <c r="B269" i="18"/>
  <c r="E94" i="13"/>
  <c r="B262" i="18"/>
  <c r="B255" i="18"/>
  <c r="B196" i="18"/>
  <c r="B109" i="18"/>
  <c r="B11" i="18"/>
  <c r="E97" i="13"/>
  <c r="I97" i="13" s="1"/>
  <c r="B5" i="18"/>
  <c r="B4" i="18"/>
  <c r="D255" i="18" l="1"/>
  <c r="E255" i="18" s="1"/>
  <c r="E260" i="18" s="1"/>
  <c r="E261" i="18" s="1"/>
  <c r="I94" i="13"/>
  <c r="I71" i="13"/>
  <c r="D333" i="18" s="1"/>
  <c r="E333" i="18" s="1"/>
  <c r="E337" i="18" s="1"/>
  <c r="E338" i="18" s="1"/>
  <c r="I95" i="13"/>
  <c r="D270" i="18" s="1"/>
  <c r="E270" i="18" s="1"/>
  <c r="I77" i="13"/>
  <c r="D296" i="18" s="1"/>
  <c r="E296" i="18" s="1"/>
  <c r="I78" i="13"/>
  <c r="D282" i="18" s="1"/>
  <c r="E282" i="18" s="1"/>
  <c r="D269" i="18"/>
  <c r="E269" i="18" s="1"/>
  <c r="E325" i="18"/>
  <c r="E99" i="13"/>
  <c r="I99" i="13" s="1"/>
  <c r="E273" i="18" l="1"/>
  <c r="E274" i="18" s="1"/>
  <c r="E54" i="13"/>
  <c r="I54" i="13" s="1"/>
  <c r="E83" i="13"/>
  <c r="E42" i="13"/>
  <c r="I42" i="13" s="1"/>
  <c r="E101" i="13"/>
  <c r="I101" i="13" s="1"/>
  <c r="E67" i="13"/>
  <c r="I67" i="13" s="1"/>
  <c r="E31" i="13"/>
  <c r="I31" i="13" s="1"/>
  <c r="E96" i="13"/>
  <c r="I96" i="13" s="1"/>
  <c r="E52" i="13"/>
  <c r="I52" i="13" s="1"/>
  <c r="E35" i="13"/>
  <c r="I35" i="13" s="1"/>
  <c r="E45" i="13"/>
  <c r="I45" i="13" s="1"/>
  <c r="E48" i="13"/>
  <c r="I48" i="13" s="1"/>
  <c r="E27" i="13"/>
  <c r="I27" i="13" s="1"/>
  <c r="E21" i="13"/>
  <c r="I21" i="13" s="1"/>
  <c r="E36" i="13"/>
  <c r="I36" i="13" s="1"/>
  <c r="E68" i="13"/>
  <c r="I68" i="13" s="1"/>
  <c r="E34" i="13"/>
  <c r="I34" i="13" s="1"/>
  <c r="E13" i="13"/>
  <c r="I13" i="13" s="1"/>
  <c r="E82" i="13"/>
  <c r="I82" i="13" s="1"/>
  <c r="E58" i="13"/>
  <c r="I58" i="13" s="1"/>
  <c r="E49" i="13"/>
  <c r="I49" i="13" s="1"/>
  <c r="E43" i="13"/>
  <c r="I43" i="13" s="1"/>
  <c r="E64" i="13"/>
  <c r="I64" i="13" s="1"/>
  <c r="E37" i="13"/>
  <c r="I37" i="13" s="1"/>
  <c r="E24" i="13"/>
  <c r="I24" i="13" s="1"/>
  <c r="E53" i="13"/>
  <c r="I53" i="13" s="1"/>
  <c r="E25" i="13"/>
  <c r="I25" i="13" s="1"/>
  <c r="E32" i="13"/>
  <c r="I32" i="13" s="1"/>
  <c r="E33" i="13"/>
  <c r="I33" i="13" s="1"/>
  <c r="E90" i="13"/>
  <c r="I90" i="13" s="1"/>
  <c r="E17" i="13"/>
  <c r="I17" i="13" s="1"/>
  <c r="E46" i="13"/>
  <c r="I46" i="13" s="1"/>
  <c r="E98" i="13"/>
  <c r="I98" i="13" s="1"/>
  <c r="E18" i="13"/>
  <c r="I18" i="13" s="1"/>
  <c r="E29" i="13"/>
  <c r="I29" i="13" s="1"/>
  <c r="D698" i="18" l="1"/>
  <c r="E698" i="18" s="1"/>
  <c r="I83" i="13"/>
  <c r="D125" i="18"/>
  <c r="E125" i="18" s="1"/>
  <c r="D103" i="18"/>
  <c r="E103" i="18" s="1"/>
  <c r="D346" i="18"/>
  <c r="E346" i="18" s="1"/>
  <c r="D241" i="18"/>
  <c r="E241" i="18" s="1"/>
  <c r="E245" i="18" s="1"/>
  <c r="E246" i="18" s="1"/>
  <c r="D80" i="18"/>
  <c r="E80" i="18" s="1"/>
  <c r="D148" i="18"/>
  <c r="E148" i="18" s="1"/>
  <c r="D126" i="18"/>
  <c r="E126" i="18" s="1"/>
  <c r="D145" i="18"/>
  <c r="E145" i="18" s="1"/>
  <c r="D123" i="18"/>
  <c r="E123" i="18" s="1"/>
  <c r="D124" i="18"/>
  <c r="E124" i="18" s="1"/>
  <c r="D146" i="18"/>
  <c r="E146" i="18" s="1"/>
  <c r="D83" i="18"/>
  <c r="E83" i="18" s="1"/>
  <c r="D131" i="18"/>
  <c r="E131" i="18" s="1"/>
  <c r="D109" i="18"/>
  <c r="E109" i="18" s="1"/>
  <c r="D490" i="18"/>
  <c r="E490" i="18" s="1"/>
  <c r="D565" i="18"/>
  <c r="E565" i="18" s="1"/>
  <c r="D535" i="18"/>
  <c r="E535" i="18" s="1"/>
  <c r="D685" i="18"/>
  <c r="E685" i="18" s="1"/>
  <c r="E688" i="18" s="1"/>
  <c r="D597" i="18"/>
  <c r="E597" i="18" s="1"/>
  <c r="D659" i="18"/>
  <c r="E659" i="18" s="1"/>
  <c r="E662" i="18" s="1"/>
  <c r="D429" i="18"/>
  <c r="E429" i="18" s="1"/>
  <c r="D387" i="18"/>
  <c r="E387" i="18" s="1"/>
  <c r="D297" i="18"/>
  <c r="E297" i="18" s="1"/>
  <c r="D283" i="18"/>
  <c r="E283" i="18" s="1"/>
  <c r="D150" i="18"/>
  <c r="E150" i="18" s="1"/>
  <c r="D128" i="18"/>
  <c r="E128" i="18" s="1"/>
  <c r="D144" i="18"/>
  <c r="E144" i="18" s="1"/>
  <c r="D122" i="18"/>
  <c r="E122" i="18" s="1"/>
  <c r="D143" i="18"/>
  <c r="E143" i="18" s="1"/>
  <c r="D121" i="18"/>
  <c r="E121" i="18" s="1"/>
  <c r="D15" i="18"/>
  <c r="E15" i="18" s="1"/>
  <c r="D151" i="18"/>
  <c r="E151" i="18" s="1"/>
  <c r="D129" i="18"/>
  <c r="E129" i="18" s="1"/>
  <c r="D87" i="18"/>
  <c r="E87" i="18" s="1"/>
  <c r="B87" i="18"/>
  <c r="D86" i="18"/>
  <c r="E86" i="18" s="1"/>
  <c r="B86" i="18"/>
  <c r="D85" i="18"/>
  <c r="E85" i="18" s="1"/>
  <c r="B85" i="18"/>
  <c r="D79" i="18"/>
  <c r="E79" i="18" s="1"/>
  <c r="B79" i="18"/>
  <c r="D214" i="18"/>
  <c r="E214" i="18" s="1"/>
  <c r="B214" i="18"/>
  <c r="D180" i="18"/>
  <c r="E180" i="18" s="1"/>
  <c r="B180" i="18"/>
  <c r="D106" i="18"/>
  <c r="E106" i="18" s="1"/>
  <c r="B106" i="18"/>
  <c r="D105" i="18"/>
  <c r="E105" i="18" s="1"/>
  <c r="B105" i="18"/>
  <c r="D107" i="18"/>
  <c r="E107" i="18" s="1"/>
  <c r="B107" i="18"/>
  <c r="B172" i="18"/>
  <c r="D166" i="18"/>
  <c r="E166" i="18" s="1"/>
  <c r="E170" i="18" s="1"/>
  <c r="B166" i="18"/>
  <c r="B234" i="18"/>
  <c r="D227" i="18"/>
  <c r="E227" i="18" s="1"/>
  <c r="E232" i="18" s="1"/>
  <c r="B227" i="18"/>
  <c r="B220" i="18"/>
  <c r="B207" i="18"/>
  <c r="D201" i="18"/>
  <c r="E201" i="18" s="1"/>
  <c r="B201" i="18"/>
  <c r="D200" i="18"/>
  <c r="E200" i="18" s="1"/>
  <c r="B200" i="18"/>
  <c r="D199" i="18"/>
  <c r="E199" i="18" s="1"/>
  <c r="B199" i="18"/>
  <c r="D198" i="18"/>
  <c r="E198" i="18" s="1"/>
  <c r="B198" i="18"/>
  <c r="D197" i="18"/>
  <c r="E197" i="18" s="1"/>
  <c r="B197" i="18"/>
  <c r="D196" i="18"/>
  <c r="E196" i="18" s="1"/>
  <c r="E134" i="18" l="1"/>
  <c r="E135" i="18" s="1"/>
  <c r="E701" i="18"/>
  <c r="E702" i="18" s="1"/>
  <c r="E350" i="18"/>
  <c r="E351" i="18" s="1"/>
  <c r="E90" i="18"/>
  <c r="E91" i="18" s="1"/>
  <c r="E567" i="18"/>
  <c r="E389" i="18"/>
  <c r="E599" i="18"/>
  <c r="E493" i="18"/>
  <c r="E205" i="18"/>
  <c r="E218" i="18"/>
  <c r="E431" i="18"/>
  <c r="E689" i="18"/>
  <c r="E465" i="18"/>
  <c r="E466" i="18" s="1"/>
  <c r="E537" i="18"/>
  <c r="E157" i="18"/>
  <c r="E158" i="18" s="1"/>
  <c r="E287" i="18"/>
  <c r="E288" i="18" s="1"/>
  <c r="E301" i="18"/>
  <c r="E302" i="18" s="1"/>
  <c r="E663" i="18"/>
  <c r="E171" i="18"/>
  <c r="E233" i="18"/>
  <c r="E432" i="18" l="1"/>
  <c r="E390" i="18"/>
  <c r="E494" i="18"/>
  <c r="E538" i="18"/>
  <c r="E600" i="18"/>
  <c r="E568" i="18"/>
  <c r="E219" i="18"/>
  <c r="E206" i="18"/>
  <c r="B189" i="18"/>
  <c r="D183" i="18"/>
  <c r="E183" i="18" s="1"/>
  <c r="B183" i="18"/>
  <c r="D182" i="18"/>
  <c r="E182" i="18" s="1"/>
  <c r="B182" i="18"/>
  <c r="D181" i="18"/>
  <c r="E181" i="18" s="1"/>
  <c r="B181" i="18"/>
  <c r="D179" i="18"/>
  <c r="E179" i="18" s="1"/>
  <c r="B179" i="18"/>
  <c r="B114" i="18"/>
  <c r="D108" i="18"/>
  <c r="E108" i="18" s="1"/>
  <c r="B108" i="18"/>
  <c r="D104" i="18"/>
  <c r="E104" i="18" s="1"/>
  <c r="B104" i="18"/>
  <c r="D102" i="18"/>
  <c r="E102" i="18" s="1"/>
  <c r="B102" i="18"/>
  <c r="D101" i="18"/>
  <c r="E101" i="18" s="1"/>
  <c r="B101" i="18"/>
  <c r="D100" i="18"/>
  <c r="E100" i="18" s="1"/>
  <c r="B100" i="18"/>
  <c r="B99" i="18"/>
  <c r="B92" i="18"/>
  <c r="D67" i="18"/>
  <c r="E67" i="18" s="1"/>
  <c r="B67" i="18"/>
  <c r="D66" i="18"/>
  <c r="E66" i="18" s="1"/>
  <c r="B66" i="18"/>
  <c r="D65" i="18"/>
  <c r="E65" i="18" s="1"/>
  <c r="B65" i="18"/>
  <c r="D64" i="18"/>
  <c r="E64" i="18" s="1"/>
  <c r="B64" i="18"/>
  <c r="D63" i="18"/>
  <c r="E63" i="18" s="1"/>
  <c r="B63" i="18"/>
  <c r="D62" i="18"/>
  <c r="E62" i="18" s="1"/>
  <c r="B62" i="18"/>
  <c r="D61" i="18"/>
  <c r="E61" i="18" s="1"/>
  <c r="B61" i="18"/>
  <c r="B72" i="18"/>
  <c r="D60" i="18"/>
  <c r="E60" i="18" s="1"/>
  <c r="B60" i="18"/>
  <c r="D59" i="18"/>
  <c r="E59" i="18" s="1"/>
  <c r="B59" i="18"/>
  <c r="D58" i="18"/>
  <c r="E58" i="18" s="1"/>
  <c r="B58" i="18"/>
  <c r="B51" i="18"/>
  <c r="D45" i="18"/>
  <c r="E45" i="18" s="1"/>
  <c r="B45" i="18"/>
  <c r="D44" i="18"/>
  <c r="E44" i="18" s="1"/>
  <c r="B44" i="18"/>
  <c r="D43" i="18"/>
  <c r="E43" i="18" s="1"/>
  <c r="B43" i="18"/>
  <c r="D42" i="18"/>
  <c r="E42" i="18" s="1"/>
  <c r="B42" i="18"/>
  <c r="D14" i="18"/>
  <c r="E14" i="18" s="1"/>
  <c r="B14" i="18"/>
  <c r="B13" i="18"/>
  <c r="D12" i="18"/>
  <c r="E12" i="18" s="1"/>
  <c r="B12" i="18"/>
  <c r="D11" i="18"/>
  <c r="E11" i="18" s="1"/>
  <c r="D7" i="18"/>
  <c r="E7" i="18" s="1"/>
  <c r="B7" i="18"/>
  <c r="D10" i="18"/>
  <c r="E10" i="18" s="1"/>
  <c r="B10" i="18"/>
  <c r="D9" i="18"/>
  <c r="E9" i="18" s="1"/>
  <c r="B9" i="18"/>
  <c r="D17" i="18"/>
  <c r="E17" i="18" s="1"/>
  <c r="B17" i="18"/>
  <c r="D8" i="18"/>
  <c r="E8" i="18" s="1"/>
  <c r="B8" i="18"/>
  <c r="D6" i="18"/>
  <c r="E6" i="18" s="1"/>
  <c r="B6" i="18"/>
  <c r="E187" i="18" l="1"/>
  <c r="E49" i="18"/>
  <c r="E50" i="18" s="1"/>
  <c r="E70" i="18"/>
  <c r="E71" i="18" s="1"/>
  <c r="B22" i="18"/>
  <c r="D5" i="18"/>
  <c r="E5" i="18" s="1"/>
  <c r="D4" i="18"/>
  <c r="E4" i="18" s="1"/>
  <c r="E188" i="18" l="1"/>
  <c r="I5" i="13" l="1"/>
  <c r="D35" i="18" l="1"/>
  <c r="E35" i="18" s="1"/>
  <c r="E36" i="18" s="1"/>
  <c r="C5" i="20" s="1"/>
  <c r="D716" i="18"/>
  <c r="E716" i="18" s="1"/>
  <c r="E717" i="18" s="1"/>
  <c r="C47" i="20" s="1"/>
  <c r="E41" i="37" s="1"/>
  <c r="F41" i="37" s="1"/>
  <c r="D371" i="18"/>
  <c r="E371" i="18" s="1"/>
  <c r="E372" i="18" s="1"/>
  <c r="C23" i="20" s="1"/>
  <c r="F24" i="32" s="1"/>
  <c r="G24" i="32" s="1"/>
  <c r="D247" i="18"/>
  <c r="E247" i="18" s="1"/>
  <c r="E248" i="18" s="1"/>
  <c r="C17" i="20" s="1"/>
  <c r="D703" i="18"/>
  <c r="E703" i="18" s="1"/>
  <c r="E704" i="18" s="1"/>
  <c r="C32" i="20" s="1"/>
  <c r="F20" i="24" s="1"/>
  <c r="G20" i="24" s="1"/>
  <c r="D632" i="18"/>
  <c r="E632" i="18" s="1"/>
  <c r="D617" i="18"/>
  <c r="E617" i="18" s="1"/>
  <c r="D677" i="18"/>
  <c r="E677" i="18" s="1"/>
  <c r="D664" i="18"/>
  <c r="E664" i="18" s="1"/>
  <c r="D508" i="18"/>
  <c r="E508" i="18" s="1"/>
  <c r="D690" i="18"/>
  <c r="E690" i="18" s="1"/>
  <c r="D601" i="18"/>
  <c r="E601" i="18" s="1"/>
  <c r="D650" i="18"/>
  <c r="E650" i="18" s="1"/>
  <c r="D539" i="18"/>
  <c r="E539" i="18" s="1"/>
  <c r="D569" i="18"/>
  <c r="E569" i="18" s="1"/>
  <c r="D495" i="18"/>
  <c r="E495" i="18" s="1"/>
  <c r="D481" i="18"/>
  <c r="E481" i="18" s="1"/>
  <c r="E482" i="18" s="1"/>
  <c r="C30" i="20" s="1"/>
  <c r="D467" i="18"/>
  <c r="E467" i="18" s="1"/>
  <c r="D454" i="18"/>
  <c r="E454" i="18" s="1"/>
  <c r="D433" i="18"/>
  <c r="E433" i="18" s="1"/>
  <c r="D411" i="18"/>
  <c r="E411" i="18" s="1"/>
  <c r="D391" i="18"/>
  <c r="E391" i="18" s="1"/>
  <c r="D159" i="18"/>
  <c r="E159" i="18" s="1"/>
  <c r="D136" i="18"/>
  <c r="E136" i="18" s="1"/>
  <c r="D352" i="18"/>
  <c r="E352" i="18" s="1"/>
  <c r="D303" i="18"/>
  <c r="E303" i="18" s="1"/>
  <c r="D262" i="18"/>
  <c r="E262" i="18" s="1"/>
  <c r="D339" i="18"/>
  <c r="E339" i="18" s="1"/>
  <c r="D326" i="18"/>
  <c r="E326" i="18" s="1"/>
  <c r="D275" i="18"/>
  <c r="E275" i="18" s="1"/>
  <c r="D289" i="18"/>
  <c r="E289" i="18" s="1"/>
  <c r="D172" i="18"/>
  <c r="E172" i="18" s="1"/>
  <c r="D220" i="18"/>
  <c r="E220" i="18" s="1"/>
  <c r="D207" i="18"/>
  <c r="E207" i="18" s="1"/>
  <c r="D234" i="18"/>
  <c r="E234" i="18" s="1"/>
  <c r="D92" i="18"/>
  <c r="E92" i="18" s="1"/>
  <c r="D189" i="18"/>
  <c r="E189" i="18" s="1"/>
  <c r="D114" i="18"/>
  <c r="E114" i="18" s="1"/>
  <c r="D72" i="18"/>
  <c r="E72" i="18" s="1"/>
  <c r="D51" i="18"/>
  <c r="E51" i="18" s="1"/>
  <c r="D22" i="18"/>
  <c r="E22" i="18" s="1"/>
  <c r="D99" i="18"/>
  <c r="E99" i="18" s="1"/>
  <c r="E112" i="18" s="1"/>
  <c r="D13" i="18"/>
  <c r="E13" i="18" s="1"/>
  <c r="E20" i="18" s="1"/>
  <c r="F18" i="12"/>
  <c r="F17" i="12"/>
  <c r="F16" i="12"/>
  <c r="F15" i="12"/>
  <c r="F14" i="12"/>
  <c r="F13" i="12"/>
  <c r="F12" i="12"/>
  <c r="F11" i="12"/>
  <c r="F10" i="12"/>
  <c r="F9" i="12"/>
  <c r="F8" i="12"/>
  <c r="F7" i="12"/>
  <c r="E3" i="12"/>
  <c r="F3" i="12" s="1"/>
  <c r="E2" i="12"/>
  <c r="F2" i="12" s="1"/>
  <c r="F20" i="33" l="1"/>
  <c r="G20" i="33" s="1"/>
  <c r="F20" i="40"/>
  <c r="G20" i="40" s="1"/>
  <c r="F8" i="40"/>
  <c r="G8" i="40" s="1"/>
  <c r="E434" i="18"/>
  <c r="C26" i="20" s="1"/>
  <c r="E496" i="18"/>
  <c r="C34" i="20" s="1"/>
  <c r="E4" i="37" s="1"/>
  <c r="F4" i="37" s="1"/>
  <c r="E602" i="18"/>
  <c r="C38" i="20" s="1"/>
  <c r="E13" i="37" s="1"/>
  <c r="F13" i="37" s="1"/>
  <c r="E678" i="18"/>
  <c r="C40" i="20" s="1"/>
  <c r="E15" i="37" s="1"/>
  <c r="F15" i="37" s="1"/>
  <c r="E455" i="18"/>
  <c r="C27" i="20" s="1"/>
  <c r="E570" i="18"/>
  <c r="C37" i="20" s="1"/>
  <c r="E12" i="37" s="1"/>
  <c r="F12" i="37" s="1"/>
  <c r="E691" i="18"/>
  <c r="C46" i="20" s="1"/>
  <c r="E40" i="37" s="1"/>
  <c r="F40" i="37" s="1"/>
  <c r="F43" i="37" s="1"/>
  <c r="F46" i="37" s="1"/>
  <c r="E618" i="18"/>
  <c r="C43" i="20" s="1"/>
  <c r="E412" i="18"/>
  <c r="C25" i="20" s="1"/>
  <c r="E651" i="18"/>
  <c r="E665" i="18"/>
  <c r="C39" i="20" s="1"/>
  <c r="E14" i="37" s="1"/>
  <c r="F14" i="37" s="1"/>
  <c r="E392" i="18"/>
  <c r="C24" i="20" s="1"/>
  <c r="E468" i="18"/>
  <c r="C29" i="20" s="1"/>
  <c r="E540" i="18"/>
  <c r="C36" i="20" s="1"/>
  <c r="E509" i="18"/>
  <c r="C35" i="20" s="1"/>
  <c r="E5" i="37" s="1"/>
  <c r="F5" i="37" s="1"/>
  <c r="E633" i="18"/>
  <c r="C42" i="20" s="1"/>
  <c r="E25" i="37" s="1"/>
  <c r="F25" i="37" s="1"/>
  <c r="E73" i="18"/>
  <c r="C7" i="20" s="1"/>
  <c r="E93" i="18"/>
  <c r="C8" i="20" s="1"/>
  <c r="E221" i="18"/>
  <c r="C15" i="20" s="1"/>
  <c r="E327" i="18"/>
  <c r="C22" i="20" s="1"/>
  <c r="E353" i="18"/>
  <c r="C28" i="20" s="1"/>
  <c r="E173" i="18"/>
  <c r="C12" i="20" s="1"/>
  <c r="E340" i="18"/>
  <c r="C31" i="20" s="1"/>
  <c r="E137" i="18"/>
  <c r="C10" i="20" s="1"/>
  <c r="E235" i="18"/>
  <c r="C16" i="20" s="1"/>
  <c r="E290" i="18"/>
  <c r="C20" i="20" s="1"/>
  <c r="E263" i="18"/>
  <c r="C18" i="20" s="1"/>
  <c r="E160" i="18"/>
  <c r="C11" i="20" s="1"/>
  <c r="E52" i="18"/>
  <c r="C6" i="20" s="1"/>
  <c r="E190" i="18"/>
  <c r="C13" i="20" s="1"/>
  <c r="E208" i="18"/>
  <c r="C14" i="20" s="1"/>
  <c r="E276" i="18"/>
  <c r="C19" i="20" s="1"/>
  <c r="F20" i="32" s="1"/>
  <c r="G20" i="32" s="1"/>
  <c r="E304" i="18"/>
  <c r="C21" i="20" s="1"/>
  <c r="F20" i="23"/>
  <c r="G20" i="23" s="1"/>
  <c r="F4" i="12"/>
  <c r="F19" i="12"/>
  <c r="F21" i="12" s="1"/>
  <c r="F24" i="9"/>
  <c r="F25" i="9"/>
  <c r="F26" i="9"/>
  <c r="F27" i="9"/>
  <c r="H142" i="10"/>
  <c r="E142" i="10"/>
  <c r="G141" i="10"/>
  <c r="G142" i="10" s="1"/>
  <c r="F140" i="10"/>
  <c r="F142" i="10" s="1"/>
  <c r="B142" i="10" s="1"/>
  <c r="E28" i="9" s="1"/>
  <c r="F28" i="9" s="1"/>
  <c r="H136" i="10"/>
  <c r="E136" i="10"/>
  <c r="G135" i="10"/>
  <c r="G136" i="10" s="1"/>
  <c r="F134" i="10"/>
  <c r="F133" i="10"/>
  <c r="F132" i="10"/>
  <c r="F131" i="10"/>
  <c r="F130" i="10"/>
  <c r="F129" i="10"/>
  <c r="H125" i="10"/>
  <c r="E125" i="10"/>
  <c r="G124" i="10"/>
  <c r="G125" i="10" s="1"/>
  <c r="F123" i="10"/>
  <c r="F122" i="10"/>
  <c r="F121" i="10"/>
  <c r="F120" i="10"/>
  <c r="F119" i="10"/>
  <c r="F118" i="10"/>
  <c r="H114" i="10"/>
  <c r="E114" i="10"/>
  <c r="G113" i="10"/>
  <c r="G114" i="10" s="1"/>
  <c r="F112" i="10"/>
  <c r="F111" i="10"/>
  <c r="F110" i="10"/>
  <c r="F109" i="10"/>
  <c r="F108" i="10"/>
  <c r="H104" i="10"/>
  <c r="E104" i="10"/>
  <c r="G103" i="10"/>
  <c r="G104" i="10" s="1"/>
  <c r="F102" i="10"/>
  <c r="F101" i="10"/>
  <c r="F100" i="10"/>
  <c r="F99" i="10"/>
  <c r="F98" i="10"/>
  <c r="F97" i="10"/>
  <c r="H93" i="10"/>
  <c r="E93" i="10"/>
  <c r="G92" i="10"/>
  <c r="G93" i="10" s="1"/>
  <c r="F91" i="10"/>
  <c r="F93" i="10" s="1"/>
  <c r="H87" i="10"/>
  <c r="E87" i="10"/>
  <c r="G86" i="10"/>
  <c r="G87" i="10" s="1"/>
  <c r="F85" i="10"/>
  <c r="F87" i="10" s="1"/>
  <c r="H81" i="10"/>
  <c r="E81" i="10"/>
  <c r="G80" i="10"/>
  <c r="G81" i="10" s="1"/>
  <c r="F79" i="10"/>
  <c r="F81" i="10" s="1"/>
  <c r="H75" i="10"/>
  <c r="E75" i="10"/>
  <c r="G74" i="10"/>
  <c r="G75" i="10" s="1"/>
  <c r="F73" i="10"/>
  <c r="F75" i="10" s="1"/>
  <c r="H69" i="10"/>
  <c r="E69" i="10"/>
  <c r="G68" i="10"/>
  <c r="G69" i="10" s="1"/>
  <c r="F67" i="10"/>
  <c r="F69" i="10" s="1"/>
  <c r="F48" i="10"/>
  <c r="F47" i="10"/>
  <c r="F16" i="23" l="1"/>
  <c r="G16" i="23" s="1"/>
  <c r="F16" i="40"/>
  <c r="G16" i="40" s="1"/>
  <c r="F9" i="40"/>
  <c r="G9" i="40" s="1"/>
  <c r="F19" i="40"/>
  <c r="G19" i="40" s="1"/>
  <c r="F18" i="40"/>
  <c r="G18" i="40" s="1"/>
  <c r="F10" i="40"/>
  <c r="G10" i="40" s="1"/>
  <c r="F22" i="40"/>
  <c r="G22" i="40" s="1"/>
  <c r="F23" i="40"/>
  <c r="G23" i="40" s="1"/>
  <c r="F13" i="40"/>
  <c r="G13" i="40" s="1"/>
  <c r="F12" i="40"/>
  <c r="G12" i="40" s="1"/>
  <c r="F21" i="40"/>
  <c r="G21" i="40" s="1"/>
  <c r="F24" i="40"/>
  <c r="G24" i="40" s="1"/>
  <c r="F17" i="40"/>
  <c r="G17" i="40" s="1"/>
  <c r="F15" i="40"/>
  <c r="G15" i="40" s="1"/>
  <c r="F14" i="40"/>
  <c r="G14" i="40" s="1"/>
  <c r="F11" i="40"/>
  <c r="G11" i="40" s="1"/>
  <c r="G26" i="40" s="1"/>
  <c r="F9" i="31" s="1"/>
  <c r="B9" i="31"/>
  <c r="D9" i="31"/>
  <c r="F57" i="33"/>
  <c r="G57" i="33" s="1"/>
  <c r="F60" i="28"/>
  <c r="G60" i="28" s="1"/>
  <c r="F60" i="23"/>
  <c r="G60" i="23" s="1"/>
  <c r="F38" i="38"/>
  <c r="G38" i="38" s="1"/>
  <c r="F59" i="29"/>
  <c r="G59" i="29" s="1"/>
  <c r="F57" i="40"/>
  <c r="G57" i="40" s="1"/>
  <c r="F38" i="39"/>
  <c r="G38" i="39" s="1"/>
  <c r="F17" i="37"/>
  <c r="F19" i="37" s="1"/>
  <c r="F6" i="37"/>
  <c r="F8" i="37" s="1"/>
  <c r="F27" i="37"/>
  <c r="C44" i="20"/>
  <c r="E32" i="37" s="1"/>
  <c r="F32" i="37" s="1"/>
  <c r="F34" i="37" s="1"/>
  <c r="F13" i="33"/>
  <c r="G13" i="33" s="1"/>
  <c r="F13" i="32"/>
  <c r="G13" i="32" s="1"/>
  <c r="F12" i="33"/>
  <c r="G12" i="33" s="1"/>
  <c r="F12" i="32"/>
  <c r="G12" i="32" s="1"/>
  <c r="F11" i="32"/>
  <c r="G11" i="32" s="1"/>
  <c r="F11" i="33"/>
  <c r="G11" i="33" s="1"/>
  <c r="F16" i="33"/>
  <c r="G16" i="33" s="1"/>
  <c r="F16" i="32"/>
  <c r="G16" i="32" s="1"/>
  <c r="F24" i="33"/>
  <c r="G24" i="33" s="1"/>
  <c r="F25" i="32"/>
  <c r="G25" i="32" s="1"/>
  <c r="F18" i="33"/>
  <c r="G18" i="33" s="1"/>
  <c r="F18" i="32"/>
  <c r="G18" i="32" s="1"/>
  <c r="F10" i="33"/>
  <c r="G10" i="33" s="1"/>
  <c r="F10" i="32"/>
  <c r="G10" i="32" s="1"/>
  <c r="F22" i="33"/>
  <c r="G22" i="33" s="1"/>
  <c r="F22" i="32"/>
  <c r="G22" i="32" s="1"/>
  <c r="F15" i="33"/>
  <c r="G15" i="33" s="1"/>
  <c r="F15" i="32"/>
  <c r="G15" i="32" s="1"/>
  <c r="F14" i="33"/>
  <c r="G14" i="33" s="1"/>
  <c r="F14" i="32"/>
  <c r="G14" i="32" s="1"/>
  <c r="F21" i="32"/>
  <c r="G21" i="32" s="1"/>
  <c r="F21" i="33"/>
  <c r="G21" i="33" s="1"/>
  <c r="F23" i="32"/>
  <c r="G23" i="32" s="1"/>
  <c r="F23" i="33"/>
  <c r="G23" i="33" s="1"/>
  <c r="F9" i="33"/>
  <c r="G9" i="33" s="1"/>
  <c r="F9" i="32"/>
  <c r="G9" i="32" s="1"/>
  <c r="F19" i="32"/>
  <c r="G19" i="32" s="1"/>
  <c r="F19" i="33"/>
  <c r="G19" i="33" s="1"/>
  <c r="F17" i="33"/>
  <c r="G17" i="33" s="1"/>
  <c r="F17" i="32"/>
  <c r="G17" i="32" s="1"/>
  <c r="F21" i="29"/>
  <c r="G21" i="29" s="1"/>
  <c r="F22" i="25"/>
  <c r="G22" i="25" s="1"/>
  <c r="F22" i="24"/>
  <c r="G22" i="24" s="1"/>
  <c r="F25" i="23"/>
  <c r="G25" i="23" s="1"/>
  <c r="F22" i="28"/>
  <c r="G22" i="28" s="1"/>
  <c r="F21" i="30"/>
  <c r="G21" i="30" s="1"/>
  <c r="F18" i="25"/>
  <c r="G18" i="25" s="1"/>
  <c r="F18" i="23"/>
  <c r="G18" i="23" s="1"/>
  <c r="F24" i="23"/>
  <c r="G24" i="23" s="1"/>
  <c r="F21" i="28"/>
  <c r="G21" i="28" s="1"/>
  <c r="F21" i="25"/>
  <c r="G21" i="25" s="1"/>
  <c r="F20" i="29"/>
  <c r="G20" i="29" s="1"/>
  <c r="F23" i="23"/>
  <c r="G23" i="23" s="1"/>
  <c r="F20" i="30"/>
  <c r="G20" i="30" s="1"/>
  <c r="F21" i="24"/>
  <c r="G21" i="24" s="1"/>
  <c r="F11" i="28"/>
  <c r="G11" i="28" s="1"/>
  <c r="F11" i="29"/>
  <c r="G11" i="29" s="1"/>
  <c r="F11" i="23"/>
  <c r="G11" i="23" s="1"/>
  <c r="F11" i="25"/>
  <c r="G11" i="25" s="1"/>
  <c r="F11" i="30"/>
  <c r="G11" i="30" s="1"/>
  <c r="F11" i="24"/>
  <c r="G11" i="24" s="1"/>
  <c r="F17" i="24"/>
  <c r="G17" i="24" s="1"/>
  <c r="F17" i="30"/>
  <c r="G17" i="30" s="1"/>
  <c r="F17" i="25"/>
  <c r="G17" i="25" s="1"/>
  <c r="F17" i="29"/>
  <c r="G17" i="29" s="1"/>
  <c r="F17" i="28"/>
  <c r="G17" i="28" s="1"/>
  <c r="F17" i="23"/>
  <c r="G17" i="23" s="1"/>
  <c r="F19" i="29"/>
  <c r="G19" i="29" s="1"/>
  <c r="F19" i="28"/>
  <c r="G19" i="28" s="1"/>
  <c r="F21" i="23"/>
  <c r="G21" i="23" s="1"/>
  <c r="F19" i="30"/>
  <c r="G19" i="30" s="1"/>
  <c r="F20" i="25"/>
  <c r="G20" i="25" s="1"/>
  <c r="F19" i="24"/>
  <c r="G19" i="24" s="1"/>
  <c r="F12" i="29"/>
  <c r="G12" i="29" s="1"/>
  <c r="F12" i="25"/>
  <c r="G12" i="25" s="1"/>
  <c r="F12" i="24"/>
  <c r="G12" i="24" s="1"/>
  <c r="F12" i="28"/>
  <c r="G12" i="28" s="1"/>
  <c r="F12" i="30"/>
  <c r="G12" i="30" s="1"/>
  <c r="F12" i="23"/>
  <c r="G12" i="23" s="1"/>
  <c r="F16" i="29"/>
  <c r="G16" i="29" s="1"/>
  <c r="F16" i="24"/>
  <c r="G16" i="24" s="1"/>
  <c r="F16" i="25"/>
  <c r="G16" i="25" s="1"/>
  <c r="F16" i="28"/>
  <c r="G16" i="28" s="1"/>
  <c r="F16" i="30"/>
  <c r="G16" i="30" s="1"/>
  <c r="F20" i="28"/>
  <c r="G20" i="28" s="1"/>
  <c r="F23" i="24"/>
  <c r="G23" i="24" s="1"/>
  <c r="F23" i="28"/>
  <c r="G23" i="28" s="1"/>
  <c r="F26" i="23"/>
  <c r="G26" i="23" s="1"/>
  <c r="F22" i="30"/>
  <c r="G22" i="30" s="1"/>
  <c r="F23" i="25"/>
  <c r="G23" i="25" s="1"/>
  <c r="F22" i="29"/>
  <c r="G22" i="29" s="1"/>
  <c r="F18" i="28"/>
  <c r="G18" i="28" s="1"/>
  <c r="F18" i="30"/>
  <c r="G18" i="30" s="1"/>
  <c r="F18" i="24"/>
  <c r="G18" i="24" s="1"/>
  <c r="F19" i="25"/>
  <c r="G19" i="25" s="1"/>
  <c r="F18" i="29"/>
  <c r="G18" i="29" s="1"/>
  <c r="F19" i="23"/>
  <c r="G19" i="23" s="1"/>
  <c r="F9" i="28"/>
  <c r="G9" i="28" s="1"/>
  <c r="F9" i="29"/>
  <c r="G9" i="29" s="1"/>
  <c r="F9" i="23"/>
  <c r="G9" i="23" s="1"/>
  <c r="F9" i="25"/>
  <c r="G9" i="25" s="1"/>
  <c r="F9" i="30"/>
  <c r="G9" i="30" s="1"/>
  <c r="F9" i="24"/>
  <c r="G9" i="24" s="1"/>
  <c r="F22" i="23"/>
  <c r="G22" i="23" s="1"/>
  <c r="F13" i="30"/>
  <c r="G13" i="30" s="1"/>
  <c r="F13" i="29"/>
  <c r="G13" i="29" s="1"/>
  <c r="F13" i="24"/>
  <c r="G13" i="24" s="1"/>
  <c r="F13" i="23"/>
  <c r="G13" i="23" s="1"/>
  <c r="F13" i="28"/>
  <c r="G13" i="28" s="1"/>
  <c r="F13" i="25"/>
  <c r="G13" i="25" s="1"/>
  <c r="F15" i="30"/>
  <c r="G15" i="30" s="1"/>
  <c r="F15" i="24"/>
  <c r="G15" i="24" s="1"/>
  <c r="F15" i="28"/>
  <c r="G15" i="28" s="1"/>
  <c r="F15" i="29"/>
  <c r="G15" i="29" s="1"/>
  <c r="F15" i="23"/>
  <c r="G15" i="23" s="1"/>
  <c r="F15" i="25"/>
  <c r="G15" i="25" s="1"/>
  <c r="F14" i="24"/>
  <c r="G14" i="24" s="1"/>
  <c r="F14" i="30"/>
  <c r="G14" i="30" s="1"/>
  <c r="F14" i="23"/>
  <c r="G14" i="23" s="1"/>
  <c r="F14" i="29"/>
  <c r="G14" i="29" s="1"/>
  <c r="F14" i="25"/>
  <c r="G14" i="25" s="1"/>
  <c r="F14" i="28"/>
  <c r="G14" i="28" s="1"/>
  <c r="F10" i="24"/>
  <c r="G10" i="24" s="1"/>
  <c r="F10" i="29"/>
  <c r="G10" i="29" s="1"/>
  <c r="F10" i="23"/>
  <c r="G10" i="23" s="1"/>
  <c r="F10" i="25"/>
  <c r="G10" i="25" s="1"/>
  <c r="F10" i="28"/>
  <c r="G10" i="28" s="1"/>
  <c r="F10" i="30"/>
  <c r="G10" i="30" s="1"/>
  <c r="E21" i="18"/>
  <c r="E113" i="18"/>
  <c r="F104" i="10"/>
  <c r="B104" i="10" s="1"/>
  <c r="F136" i="10"/>
  <c r="B136" i="10" s="1"/>
  <c r="F114" i="10"/>
  <c r="B114" i="10" s="1"/>
  <c r="F125" i="10"/>
  <c r="F23" i="12"/>
  <c r="F24" i="12" s="1"/>
  <c r="F22" i="12"/>
  <c r="B125" i="10"/>
  <c r="B93" i="10"/>
  <c r="E23" i="9" s="1"/>
  <c r="F23" i="9" s="1"/>
  <c r="B87" i="10"/>
  <c r="E22" i="9" s="1"/>
  <c r="F22" i="9" s="1"/>
  <c r="B81" i="10"/>
  <c r="E21" i="9" s="1"/>
  <c r="F21" i="9" s="1"/>
  <c r="B75" i="10"/>
  <c r="E20" i="9" s="1"/>
  <c r="F20" i="9" s="1"/>
  <c r="B69" i="10"/>
  <c r="E19" i="9" s="1"/>
  <c r="F53" i="10"/>
  <c r="F52" i="10"/>
  <c r="H55" i="10"/>
  <c r="E55" i="10"/>
  <c r="G54" i="10"/>
  <c r="G55" i="10" s="1"/>
  <c r="F51" i="10"/>
  <c r="F50" i="10"/>
  <c r="F49" i="10"/>
  <c r="F46" i="10"/>
  <c r="F45" i="10"/>
  <c r="H41" i="10"/>
  <c r="E41" i="10"/>
  <c r="G40" i="10"/>
  <c r="G41" i="10" s="1"/>
  <c r="F39" i="10"/>
  <c r="F41" i="10" s="1"/>
  <c r="H35" i="10"/>
  <c r="E35" i="10"/>
  <c r="G34" i="10"/>
  <c r="G35" i="10" s="1"/>
  <c r="F33" i="10"/>
  <c r="F32" i="10"/>
  <c r="F31" i="10"/>
  <c r="F30" i="10"/>
  <c r="H26" i="10"/>
  <c r="E26" i="10"/>
  <c r="G25" i="10"/>
  <c r="G26" i="10" s="1"/>
  <c r="F24" i="10"/>
  <c r="F23" i="10"/>
  <c r="F22" i="10"/>
  <c r="F139" i="43" l="1"/>
  <c r="D23" i="31"/>
  <c r="F37" i="38"/>
  <c r="G37" i="38" s="1"/>
  <c r="F59" i="28"/>
  <c r="G59" i="28" s="1"/>
  <c r="F59" i="23"/>
  <c r="G59" i="23" s="1"/>
  <c r="F37" i="39"/>
  <c r="G37" i="39" s="1"/>
  <c r="F56" i="40"/>
  <c r="G56" i="40" s="1"/>
  <c r="F58" i="29"/>
  <c r="G58" i="29" s="1"/>
  <c r="F56" i="33"/>
  <c r="G56" i="33" s="1"/>
  <c r="F57" i="29"/>
  <c r="G57" i="29" s="1"/>
  <c r="F36" i="38"/>
  <c r="G36" i="38" s="1"/>
  <c r="F55" i="40"/>
  <c r="G55" i="40" s="1"/>
  <c r="F36" i="39"/>
  <c r="G36" i="39" s="1"/>
  <c r="F55" i="33"/>
  <c r="G55" i="33" s="1"/>
  <c r="F58" i="28"/>
  <c r="G58" i="28" s="1"/>
  <c r="F58" i="23"/>
  <c r="G58" i="23" s="1"/>
  <c r="F53" i="40"/>
  <c r="G53" i="40" s="1"/>
  <c r="F34" i="39"/>
  <c r="G34" i="39" s="1"/>
  <c r="F56" i="23"/>
  <c r="G56" i="23" s="1"/>
  <c r="F34" i="38"/>
  <c r="G34" i="38" s="1"/>
  <c r="F55" i="29"/>
  <c r="G55" i="29" s="1"/>
  <c r="F56" i="28"/>
  <c r="G56" i="28" s="1"/>
  <c r="F53" i="33"/>
  <c r="G53" i="33" s="1"/>
  <c r="F54" i="33"/>
  <c r="G54" i="33" s="1"/>
  <c r="F35" i="38"/>
  <c r="G35" i="38" s="1"/>
  <c r="F56" i="29"/>
  <c r="G56" i="29" s="1"/>
  <c r="F57" i="28"/>
  <c r="G57" i="28" s="1"/>
  <c r="F57" i="23"/>
  <c r="G57" i="23" s="1"/>
  <c r="F35" i="39"/>
  <c r="G35" i="39" s="1"/>
  <c r="F54" i="40"/>
  <c r="G54" i="40" s="1"/>
  <c r="E23" i="18"/>
  <c r="C4" i="20" s="1"/>
  <c r="E115" i="18"/>
  <c r="C9" i="20" s="1"/>
  <c r="F25" i="12"/>
  <c r="F55" i="10"/>
  <c r="B55" i="10" s="1"/>
  <c r="E14" i="9" s="1"/>
  <c r="F14" i="9" s="1"/>
  <c r="B41" i="10"/>
  <c r="E13" i="9" s="1"/>
  <c r="F13" i="9" s="1"/>
  <c r="F26" i="10"/>
  <c r="B26" i="10" s="1"/>
  <c r="E11" i="9" s="1"/>
  <c r="F11" i="9" s="1"/>
  <c r="F35" i="10"/>
  <c r="B35" i="10" s="1"/>
  <c r="E12" i="9" s="1"/>
  <c r="F12" i="9" s="1"/>
  <c r="F8" i="33" l="1"/>
  <c r="G8" i="33" s="1"/>
  <c r="G26" i="33" s="1"/>
  <c r="F8" i="32"/>
  <c r="G8" i="32" s="1"/>
  <c r="G27" i="32" s="1"/>
  <c r="F8" i="30"/>
  <c r="G8" i="30" s="1"/>
  <c r="G24" i="30" s="1"/>
  <c r="B8" i="31" s="1"/>
  <c r="B22" i="31" s="1"/>
  <c r="F8" i="23"/>
  <c r="G8" i="23" s="1"/>
  <c r="G28" i="23" s="1"/>
  <c r="F8" i="28"/>
  <c r="G8" i="28" s="1"/>
  <c r="G25" i="28" s="1"/>
  <c r="D8" i="31" s="1"/>
  <c r="F8" i="25"/>
  <c r="G8" i="25" s="1"/>
  <c r="G25" i="25" s="1"/>
  <c r="F8" i="24"/>
  <c r="G8" i="24" s="1"/>
  <c r="G25" i="24" s="1"/>
  <c r="F8" i="29"/>
  <c r="G8" i="29" s="1"/>
  <c r="G24" i="29" s="1"/>
  <c r="F8" i="31" s="1"/>
  <c r="H18" i="10"/>
  <c r="E18" i="10"/>
  <c r="G17" i="10"/>
  <c r="G18" i="10" s="1"/>
  <c r="F16" i="10"/>
  <c r="F18" i="10" s="1"/>
  <c r="H12" i="10"/>
  <c r="E12" i="10"/>
  <c r="G11" i="10"/>
  <c r="G12" i="10" s="1"/>
  <c r="F10" i="10"/>
  <c r="F12" i="10" s="1"/>
  <c r="H63" i="10"/>
  <c r="E63" i="10"/>
  <c r="G62" i="10"/>
  <c r="G63" i="10" s="1"/>
  <c r="F61" i="10"/>
  <c r="F60" i="10"/>
  <c r="F59" i="10"/>
  <c r="E6" i="10"/>
  <c r="G5" i="10"/>
  <c r="G6" i="10" s="1"/>
  <c r="H4" i="10"/>
  <c r="H6" i="10" s="1"/>
  <c r="F3" i="10"/>
  <c r="F6" i="10" s="1"/>
  <c r="F19" i="9"/>
  <c r="E3" i="9"/>
  <c r="F3" i="9" s="1"/>
  <c r="E2" i="9"/>
  <c r="F2" i="9" s="1"/>
  <c r="D22" i="31" l="1"/>
  <c r="F91" i="43"/>
  <c r="C22" i="31"/>
  <c r="F79" i="43"/>
  <c r="H8" i="31"/>
  <c r="E22" i="31" s="1"/>
  <c r="J8" i="31"/>
  <c r="B7" i="31"/>
  <c r="D7" i="31"/>
  <c r="C21" i="31" s="1"/>
  <c r="F7" i="31"/>
  <c r="D21" i="31" s="1"/>
  <c r="F29" i="9"/>
  <c r="B18" i="10"/>
  <c r="E10" i="9" s="1"/>
  <c r="F10" i="9" s="1"/>
  <c r="B12" i="10"/>
  <c r="E9" i="9" s="1"/>
  <c r="F9" i="9" s="1"/>
  <c r="F63" i="10"/>
  <c r="B63" i="10" s="1"/>
  <c r="E15" i="9" s="1"/>
  <c r="F15" i="9" s="1"/>
  <c r="B6" i="10"/>
  <c r="E8" i="9" s="1"/>
  <c r="F8" i="9" s="1"/>
  <c r="F4" i="9"/>
  <c r="F18" i="8"/>
  <c r="F17" i="8"/>
  <c r="F16" i="8"/>
  <c r="F15" i="8"/>
  <c r="F14" i="8"/>
  <c r="F13" i="8"/>
  <c r="F12" i="8"/>
  <c r="F11" i="8"/>
  <c r="F10" i="8"/>
  <c r="F9" i="8"/>
  <c r="F8" i="8"/>
  <c r="F7" i="8"/>
  <c r="E3" i="8"/>
  <c r="F3" i="8" s="1"/>
  <c r="E2" i="8"/>
  <c r="F2" i="8" s="1"/>
  <c r="F22" i="31" l="1"/>
  <c r="F103" i="43"/>
  <c r="F66" i="43"/>
  <c r="F52" i="43"/>
  <c r="F38" i="43"/>
  <c r="B21" i="31"/>
  <c r="B11" i="31"/>
  <c r="J11" i="31"/>
  <c r="D11" i="31"/>
  <c r="H11" i="31"/>
  <c r="F11" i="31"/>
  <c r="F4" i="8"/>
  <c r="F16" i="9"/>
  <c r="F31" i="9" s="1"/>
  <c r="F33" i="9" s="1"/>
  <c r="F19" i="8"/>
  <c r="H677" i="5"/>
  <c r="E677" i="5"/>
  <c r="G676" i="5"/>
  <c r="G677" i="5" s="1"/>
  <c r="F675" i="5"/>
  <c r="F677" i="5" s="1"/>
  <c r="L11" i="31" l="1"/>
  <c r="D14" i="31" s="1"/>
  <c r="F23" i="8"/>
  <c r="F24" i="8" s="1"/>
  <c r="F22" i="8"/>
  <c r="F21" i="8"/>
  <c r="F35" i="9"/>
  <c r="F36" i="9" s="1"/>
  <c r="F34" i="9"/>
  <c r="B677" i="5"/>
  <c r="F25" i="8" l="1"/>
  <c r="D16" i="31"/>
  <c r="D4" i="34" s="1"/>
  <c r="F37" i="9"/>
  <c r="F169" i="34" l="1"/>
  <c r="F173" i="34" s="1"/>
  <c r="F137" i="43" s="1"/>
  <c r="F141" i="43" s="1"/>
  <c r="F23" i="43" s="1"/>
  <c r="F25" i="43" s="1"/>
  <c r="F150" i="34"/>
  <c r="F154" i="34" s="1"/>
  <c r="F125" i="43" s="1"/>
  <c r="F129" i="43" s="1"/>
  <c r="F18" i="43" s="1"/>
  <c r="F20" i="43" s="1"/>
  <c r="F22" i="34"/>
  <c r="F26" i="34" s="1"/>
  <c r="F36" i="43" s="1"/>
  <c r="F40" i="43" s="1"/>
  <c r="F3" i="43" s="1"/>
  <c r="F40" i="34"/>
  <c r="F44" i="34" s="1"/>
  <c r="F50" i="43" s="1"/>
  <c r="F54" i="43" s="1"/>
  <c r="F4" i="43" s="1"/>
  <c r="F77" i="34"/>
  <c r="F81" i="34" s="1"/>
  <c r="F77" i="43" s="1"/>
  <c r="F81" i="43" s="1"/>
  <c r="F8" i="43" s="1"/>
  <c r="F58" i="34"/>
  <c r="F62" i="34" s="1"/>
  <c r="F64" i="43" s="1"/>
  <c r="F68" i="43" s="1"/>
  <c r="F5" i="43" s="1"/>
  <c r="F96" i="34"/>
  <c r="F100" i="34" s="1"/>
  <c r="F89" i="43" s="1"/>
  <c r="F93" i="43" s="1"/>
  <c r="F9" i="43" s="1"/>
  <c r="D6" i="34"/>
  <c r="F113" i="34"/>
  <c r="F117" i="34" s="1"/>
  <c r="F101" i="43" s="1"/>
  <c r="F105" i="43" s="1"/>
  <c r="F10" i="43" s="1"/>
  <c r="F131" i="34"/>
  <c r="F135" i="34" s="1"/>
  <c r="F113" i="43" s="1"/>
  <c r="F117" i="43" s="1"/>
  <c r="F13" i="43" s="1"/>
  <c r="F15" i="43" s="1"/>
  <c r="H1080" i="7"/>
  <c r="E1080" i="7"/>
  <c r="G1079" i="7"/>
  <c r="G1080" i="7" s="1"/>
  <c r="F1078" i="7"/>
  <c r="F1077" i="7"/>
  <c r="F1076" i="7"/>
  <c r="F1075" i="7"/>
  <c r="F1074" i="7"/>
  <c r="F1073" i="7"/>
  <c r="H1069" i="7"/>
  <c r="E1069" i="7"/>
  <c r="G1068" i="7"/>
  <c r="G1069" i="7" s="1"/>
  <c r="F1067" i="7"/>
  <c r="F1066" i="7"/>
  <c r="F1069" i="7" s="1"/>
  <c r="F1065" i="7"/>
  <c r="F1064" i="7"/>
  <c r="H1060" i="7"/>
  <c r="G1060" i="7"/>
  <c r="E1060" i="7"/>
  <c r="G1059" i="7"/>
  <c r="F1058" i="7"/>
  <c r="F1057" i="7"/>
  <c r="F1056" i="7"/>
  <c r="F1055" i="7"/>
  <c r="H1051" i="7"/>
  <c r="E1051" i="7"/>
  <c r="G1050" i="7"/>
  <c r="G1051" i="7" s="1"/>
  <c r="F1049" i="7"/>
  <c r="F1048" i="7"/>
  <c r="F1047" i="7"/>
  <c r="H1043" i="7"/>
  <c r="E1043" i="7"/>
  <c r="G1042" i="7"/>
  <c r="G1043" i="7" s="1"/>
  <c r="F1041" i="7"/>
  <c r="F1043" i="7" s="1"/>
  <c r="B1043" i="7" s="1"/>
  <c r="F1040" i="7"/>
  <c r="H1036" i="7"/>
  <c r="G1036" i="7"/>
  <c r="E1036" i="7"/>
  <c r="G1035" i="7"/>
  <c r="F1034" i="7"/>
  <c r="F1033" i="7"/>
  <c r="F1036" i="7" s="1"/>
  <c r="H1029" i="7"/>
  <c r="E1029" i="7"/>
  <c r="G1028" i="7"/>
  <c r="G1029" i="7" s="1"/>
  <c r="F1027" i="7"/>
  <c r="F1026" i="7"/>
  <c r="F1025" i="7"/>
  <c r="H1021" i="7"/>
  <c r="E1021" i="7"/>
  <c r="G1020" i="7"/>
  <c r="G1021" i="7" s="1"/>
  <c r="F1019" i="7"/>
  <c r="F1021" i="7" s="1"/>
  <c r="H1015" i="7"/>
  <c r="G1015" i="7"/>
  <c r="E1015" i="7"/>
  <c r="G1014" i="7"/>
  <c r="F1013" i="7"/>
  <c r="F1015" i="7" s="1"/>
  <c r="H1002" i="7"/>
  <c r="F1002" i="7"/>
  <c r="E1002" i="7"/>
  <c r="G1001" i="7"/>
  <c r="G1000" i="7"/>
  <c r="G999" i="7"/>
  <c r="H995" i="7"/>
  <c r="E995" i="7"/>
  <c r="G994" i="7"/>
  <c r="G995" i="7" s="1"/>
  <c r="F993" i="7"/>
  <c r="F992" i="7"/>
  <c r="F991" i="7"/>
  <c r="H987" i="7"/>
  <c r="E987" i="7"/>
  <c r="G986" i="7"/>
  <c r="G987" i="7" s="1"/>
  <c r="F985" i="7"/>
  <c r="F984" i="7"/>
  <c r="F983" i="7"/>
  <c r="F987" i="7" s="1"/>
  <c r="H979" i="7"/>
  <c r="E979" i="7"/>
  <c r="G978" i="7"/>
  <c r="G979" i="7" s="1"/>
  <c r="F977" i="7"/>
  <c r="F976" i="7"/>
  <c r="F975" i="7"/>
  <c r="F974" i="7"/>
  <c r="F973" i="7"/>
  <c r="F972" i="7"/>
  <c r="H968" i="7"/>
  <c r="G968" i="7"/>
  <c r="E968" i="7"/>
  <c r="B968" i="7" s="1"/>
  <c r="G967" i="7"/>
  <c r="F966" i="7"/>
  <c r="F968" i="7" s="1"/>
  <c r="H962" i="7"/>
  <c r="E962" i="7"/>
  <c r="G961" i="7"/>
  <c r="G962" i="7" s="1"/>
  <c r="F960" i="7"/>
  <c r="F962" i="7" s="1"/>
  <c r="H956" i="7"/>
  <c r="E956" i="7"/>
  <c r="G955" i="7"/>
  <c r="G956" i="7" s="1"/>
  <c r="F954" i="7"/>
  <c r="F956" i="7" s="1"/>
  <c r="H950" i="7"/>
  <c r="E950" i="7"/>
  <c r="B950" i="7" s="1"/>
  <c r="G949" i="7"/>
  <c r="G950" i="7" s="1"/>
  <c r="F948" i="7"/>
  <c r="F947" i="7"/>
  <c r="F950" i="7" s="1"/>
  <c r="H943" i="7"/>
  <c r="E943" i="7"/>
  <c r="G942" i="7"/>
  <c r="G943" i="7" s="1"/>
  <c r="F941" i="7"/>
  <c r="F943" i="7" s="1"/>
  <c r="H937" i="7"/>
  <c r="E937" i="7"/>
  <c r="G936" i="7"/>
  <c r="G937" i="7" s="1"/>
  <c r="F935" i="7"/>
  <c r="F934" i="7"/>
  <c r="F933" i="7"/>
  <c r="F932" i="7"/>
  <c r="H928" i="7"/>
  <c r="E928" i="7"/>
  <c r="G927" i="7"/>
  <c r="G928" i="7" s="1"/>
  <c r="F926" i="7"/>
  <c r="F928" i="7" s="1"/>
  <c r="H922" i="7"/>
  <c r="E922" i="7"/>
  <c r="G921" i="7"/>
  <c r="G922" i="7" s="1"/>
  <c r="F920" i="7"/>
  <c r="F919" i="7"/>
  <c r="F918" i="7"/>
  <c r="F917" i="7"/>
  <c r="F916" i="7"/>
  <c r="F915" i="7"/>
  <c r="H911" i="7"/>
  <c r="E911" i="7"/>
  <c r="G910" i="7"/>
  <c r="G911" i="7" s="1"/>
  <c r="F909" i="7"/>
  <c r="F908" i="7"/>
  <c r="F907" i="7"/>
  <c r="H903" i="7"/>
  <c r="E903" i="7"/>
  <c r="G902" i="7"/>
  <c r="G903" i="7" s="1"/>
  <c r="F901" i="7"/>
  <c r="F900" i="7"/>
  <c r="F899" i="7"/>
  <c r="F898" i="7"/>
  <c r="H894" i="7"/>
  <c r="E894" i="7"/>
  <c r="G893" i="7"/>
  <c r="G894" i="7" s="1"/>
  <c r="F892" i="7"/>
  <c r="F891" i="7"/>
  <c r="F890" i="7"/>
  <c r="E886" i="7"/>
  <c r="G885" i="7"/>
  <c r="G886" i="7" s="1"/>
  <c r="H884" i="7"/>
  <c r="H886" i="7" s="1"/>
  <c r="F883" i="7"/>
  <c r="F886" i="7" s="1"/>
  <c r="H879" i="7"/>
  <c r="E879" i="7"/>
  <c r="G878" i="7"/>
  <c r="G879" i="7" s="1"/>
  <c r="F877" i="7"/>
  <c r="F876" i="7"/>
  <c r="F875" i="7"/>
  <c r="H863" i="7"/>
  <c r="E863" i="7"/>
  <c r="G862" i="7"/>
  <c r="G863" i="7" s="1"/>
  <c r="F861" i="7"/>
  <c r="F860" i="7"/>
  <c r="F859" i="7"/>
  <c r="H826" i="7"/>
  <c r="E826" i="7"/>
  <c r="G825" i="7"/>
  <c r="G826" i="7" s="1"/>
  <c r="F824" i="7"/>
  <c r="F823" i="7"/>
  <c r="F822" i="7"/>
  <c r="H818" i="7"/>
  <c r="E818" i="7"/>
  <c r="G817" i="7"/>
  <c r="G818" i="7" s="1"/>
  <c r="F816" i="7"/>
  <c r="F815" i="7"/>
  <c r="F814" i="7"/>
  <c r="H810" i="7"/>
  <c r="E810" i="7"/>
  <c r="G809" i="7"/>
  <c r="G810" i="7" s="1"/>
  <c r="F808" i="7"/>
  <c r="F807" i="7"/>
  <c r="F810" i="7" s="1"/>
  <c r="H803" i="7"/>
  <c r="E803" i="7"/>
  <c r="G802" i="7"/>
  <c r="G803" i="7" s="1"/>
  <c r="F801" i="7"/>
  <c r="F800" i="7"/>
  <c r="F799" i="7"/>
  <c r="H795" i="7"/>
  <c r="E795" i="7"/>
  <c r="G794" i="7"/>
  <c r="G795" i="7" s="1"/>
  <c r="F793" i="7"/>
  <c r="F792" i="7"/>
  <c r="F791" i="7"/>
  <c r="H787" i="7"/>
  <c r="E787" i="7"/>
  <c r="G785" i="7"/>
  <c r="G787" i="7" s="1"/>
  <c r="F784" i="7"/>
  <c r="F783" i="7"/>
  <c r="F782" i="7"/>
  <c r="F781" i="7"/>
  <c r="F780" i="7"/>
  <c r="F779" i="7"/>
  <c r="F778" i="7"/>
  <c r="F777" i="7"/>
  <c r="H760" i="7"/>
  <c r="E760" i="7"/>
  <c r="G759" i="7"/>
  <c r="G760" i="7" s="1"/>
  <c r="F758" i="7"/>
  <c r="F760" i="7" s="1"/>
  <c r="H754" i="7"/>
  <c r="E754" i="7"/>
  <c r="G753" i="7"/>
  <c r="G754" i="7" s="1"/>
  <c r="F752" i="7"/>
  <c r="F751" i="7"/>
  <c r="F750" i="7"/>
  <c r="F749" i="7"/>
  <c r="F748" i="7"/>
  <c r="F747" i="7"/>
  <c r="F746" i="7"/>
  <c r="F745" i="7"/>
  <c r="H690" i="7"/>
  <c r="E690" i="7"/>
  <c r="G689" i="7"/>
  <c r="G690" i="7" s="1"/>
  <c r="F688" i="7"/>
  <c r="F687" i="7"/>
  <c r="F686" i="7"/>
  <c r="F685" i="7"/>
  <c r="F684" i="7"/>
  <c r="F683" i="7"/>
  <c r="H601" i="7"/>
  <c r="E601" i="7"/>
  <c r="G600" i="7"/>
  <c r="G601" i="7" s="1"/>
  <c r="F599" i="7"/>
  <c r="F601" i="7" s="1"/>
  <c r="H589" i="7"/>
  <c r="E589" i="7"/>
  <c r="G588" i="7"/>
  <c r="G589" i="7" s="1"/>
  <c r="F587" i="7"/>
  <c r="F589" i="7" s="1"/>
  <c r="H576" i="7"/>
  <c r="E576" i="7"/>
  <c r="G575" i="7"/>
  <c r="G576" i="7" s="1"/>
  <c r="F574" i="7"/>
  <c r="F573" i="7"/>
  <c r="F572" i="7"/>
  <c r="F571" i="7"/>
  <c r="F570" i="7"/>
  <c r="F569" i="7"/>
  <c r="H564" i="7"/>
  <c r="G564" i="7"/>
  <c r="E564" i="7"/>
  <c r="G563" i="7"/>
  <c r="F562" i="7"/>
  <c r="F561" i="7"/>
  <c r="F560" i="7"/>
  <c r="F559" i="7"/>
  <c r="F558" i="7"/>
  <c r="F557" i="7"/>
  <c r="H553" i="7"/>
  <c r="E553" i="7"/>
  <c r="G552" i="7"/>
  <c r="G553" i="7" s="1"/>
  <c r="F551" i="7"/>
  <c r="F553" i="7" s="1"/>
  <c r="H547" i="7"/>
  <c r="E547" i="7"/>
  <c r="G546" i="7"/>
  <c r="G547" i="7" s="1"/>
  <c r="F545" i="7"/>
  <c r="F544" i="7"/>
  <c r="F543" i="7"/>
  <c r="F542" i="7"/>
  <c r="F541" i="7"/>
  <c r="H537" i="7"/>
  <c r="E537" i="7"/>
  <c r="G536" i="7"/>
  <c r="G537" i="7" s="1"/>
  <c r="F535" i="7"/>
  <c r="F537" i="7" s="1"/>
  <c r="H531" i="7"/>
  <c r="E531" i="7"/>
  <c r="G530" i="7"/>
  <c r="G531" i="7" s="1"/>
  <c r="F529" i="7"/>
  <c r="F528" i="7"/>
  <c r="F527" i="7"/>
  <c r="H523" i="7"/>
  <c r="E523" i="7"/>
  <c r="G522" i="7"/>
  <c r="G523" i="7" s="1"/>
  <c r="F521" i="7"/>
  <c r="F520" i="7"/>
  <c r="F523" i="7" s="1"/>
  <c r="H516" i="7"/>
  <c r="E516" i="7"/>
  <c r="G515" i="7"/>
  <c r="G516" i="7" s="1"/>
  <c r="F514" i="7"/>
  <c r="F513" i="7"/>
  <c r="F512" i="7"/>
  <c r="F511" i="7"/>
  <c r="F510" i="7"/>
  <c r="H506" i="7"/>
  <c r="E506" i="7"/>
  <c r="G505" i="7"/>
  <c r="G506" i="7" s="1"/>
  <c r="F504" i="7"/>
  <c r="F503" i="7"/>
  <c r="H499" i="7"/>
  <c r="E499" i="7"/>
  <c r="G498" i="7"/>
  <c r="G499" i="7" s="1"/>
  <c r="F497" i="7"/>
  <c r="F499" i="7" s="1"/>
  <c r="B499" i="7" s="1"/>
  <c r="H493" i="7"/>
  <c r="E493" i="7"/>
  <c r="G492" i="7"/>
  <c r="G493" i="7" s="1"/>
  <c r="F491" i="7"/>
  <c r="F490" i="7"/>
  <c r="F489" i="7"/>
  <c r="F488" i="7"/>
  <c r="H484" i="7"/>
  <c r="E484" i="7"/>
  <c r="G483" i="7"/>
  <c r="G484" i="7" s="1"/>
  <c r="F482" i="7"/>
  <c r="F481" i="7"/>
  <c r="F480" i="7"/>
  <c r="F479" i="7"/>
  <c r="H474" i="7"/>
  <c r="E474" i="7"/>
  <c r="G473" i="7"/>
  <c r="G474" i="7" s="1"/>
  <c r="F472" i="7"/>
  <c r="F471" i="7"/>
  <c r="F470" i="7"/>
  <c r="F469" i="7"/>
  <c r="F468" i="7"/>
  <c r="F467" i="7"/>
  <c r="H463" i="7"/>
  <c r="E463" i="7"/>
  <c r="G462" i="7"/>
  <c r="G463" i="7" s="1"/>
  <c r="F461" i="7"/>
  <c r="F460" i="7"/>
  <c r="F459" i="7"/>
  <c r="F458" i="7"/>
  <c r="F457" i="7"/>
  <c r="F456" i="7"/>
  <c r="H452" i="7"/>
  <c r="E452" i="7"/>
  <c r="G451" i="7"/>
  <c r="G452" i="7" s="1"/>
  <c r="F450" i="7"/>
  <c r="F449" i="7"/>
  <c r="F448" i="7"/>
  <c r="F447" i="7"/>
  <c r="F446" i="7"/>
  <c r="F445" i="7"/>
  <c r="H441" i="7"/>
  <c r="E441" i="7"/>
  <c r="G440" i="7"/>
  <c r="G441" i="7" s="1"/>
  <c r="F439" i="7"/>
  <c r="F438" i="7"/>
  <c r="F437" i="7"/>
  <c r="F436" i="7"/>
  <c r="F435" i="7"/>
  <c r="F434" i="7"/>
  <c r="H430" i="7"/>
  <c r="E430" i="7"/>
  <c r="G429" i="7"/>
  <c r="G430" i="7" s="1"/>
  <c r="F428" i="7"/>
  <c r="F427" i="7"/>
  <c r="F426" i="7"/>
  <c r="F425" i="7"/>
  <c r="F424" i="7"/>
  <c r="F423" i="7"/>
  <c r="H419" i="7"/>
  <c r="E419" i="7"/>
  <c r="G418" i="7"/>
  <c r="G419" i="7" s="1"/>
  <c r="F417" i="7"/>
  <c r="F416" i="7"/>
  <c r="F415" i="7"/>
  <c r="F414" i="7"/>
  <c r="F413" i="7"/>
  <c r="F412" i="7"/>
  <c r="H408" i="7"/>
  <c r="G408" i="7"/>
  <c r="E408" i="7"/>
  <c r="G407" i="7"/>
  <c r="F406" i="7"/>
  <c r="F405" i="7"/>
  <c r="F404" i="7"/>
  <c r="F403" i="7"/>
  <c r="F402" i="7"/>
  <c r="F401" i="7"/>
  <c r="H391" i="7"/>
  <c r="E391" i="7"/>
  <c r="G390" i="7"/>
  <c r="G391" i="7" s="1"/>
  <c r="F389" i="7"/>
  <c r="F388" i="7"/>
  <c r="F387" i="7"/>
  <c r="F386" i="7"/>
  <c r="F385" i="7"/>
  <c r="F384" i="7"/>
  <c r="H380" i="7"/>
  <c r="E380" i="7"/>
  <c r="G379" i="7"/>
  <c r="G380" i="7" s="1"/>
  <c r="F378" i="7"/>
  <c r="F377" i="7"/>
  <c r="F376" i="7"/>
  <c r="F375" i="7"/>
  <c r="F374" i="7"/>
  <c r="F373" i="7"/>
  <c r="H369" i="7"/>
  <c r="G369" i="7"/>
  <c r="E369" i="7"/>
  <c r="G368" i="7"/>
  <c r="F367" i="7"/>
  <c r="F366" i="7"/>
  <c r="F365" i="7"/>
  <c r="F364" i="7"/>
  <c r="F363" i="7"/>
  <c r="F362" i="7"/>
  <c r="H357" i="7"/>
  <c r="E357" i="7"/>
  <c r="G356" i="7"/>
  <c r="G357" i="7" s="1"/>
  <c r="F355" i="7"/>
  <c r="F354" i="7"/>
  <c r="F353" i="7"/>
  <c r="F352" i="7"/>
  <c r="F351" i="7"/>
  <c r="F350" i="7"/>
  <c r="H346" i="7"/>
  <c r="E346" i="7"/>
  <c r="G345" i="7"/>
  <c r="G346" i="7" s="1"/>
  <c r="F344" i="7"/>
  <c r="F343" i="7"/>
  <c r="F342" i="7"/>
  <c r="F341" i="7"/>
  <c r="F340" i="7"/>
  <c r="F339" i="7"/>
  <c r="H335" i="7"/>
  <c r="E335" i="7"/>
  <c r="G334" i="7"/>
  <c r="G335" i="7" s="1"/>
  <c r="F333" i="7"/>
  <c r="F332" i="7"/>
  <c r="F331" i="7"/>
  <c r="F330" i="7"/>
  <c r="F329" i="7"/>
  <c r="F328" i="7"/>
  <c r="H324" i="7"/>
  <c r="E324" i="7"/>
  <c r="G323" i="7"/>
  <c r="G324" i="7" s="1"/>
  <c r="F322" i="7"/>
  <c r="F321" i="7"/>
  <c r="F320" i="7"/>
  <c r="F319" i="7"/>
  <c r="F318" i="7"/>
  <c r="F317" i="7"/>
  <c r="H313" i="7"/>
  <c r="E313" i="7"/>
  <c r="G312" i="7"/>
  <c r="G313" i="7" s="1"/>
  <c r="F311" i="7"/>
  <c r="F310" i="7"/>
  <c r="F309" i="7"/>
  <c r="F308" i="7"/>
  <c r="F307" i="7"/>
  <c r="F306" i="7"/>
  <c r="H302" i="7"/>
  <c r="E302" i="7"/>
  <c r="G301" i="7"/>
  <c r="G302" i="7" s="1"/>
  <c r="F300" i="7"/>
  <c r="F299" i="7"/>
  <c r="F298" i="7"/>
  <c r="F297" i="7"/>
  <c r="F296" i="7"/>
  <c r="F295" i="7"/>
  <c r="H291" i="7"/>
  <c r="E291" i="7"/>
  <c r="G290" i="7"/>
  <c r="G291" i="7" s="1"/>
  <c r="F289" i="7"/>
  <c r="F291" i="7" s="1"/>
  <c r="H285" i="7"/>
  <c r="E285" i="7"/>
  <c r="G284" i="7"/>
  <c r="G285" i="7" s="1"/>
  <c r="F283" i="7"/>
  <c r="F282" i="7"/>
  <c r="F281" i="7"/>
  <c r="H277" i="7"/>
  <c r="G277" i="7"/>
  <c r="E277" i="7"/>
  <c r="G276" i="7"/>
  <c r="F275" i="7"/>
  <c r="F274" i="7"/>
  <c r="H270" i="7"/>
  <c r="E270" i="7"/>
  <c r="G269" i="7"/>
  <c r="G270" i="7" s="1"/>
  <c r="F268" i="7"/>
  <c r="F267" i="7"/>
  <c r="F266" i="7"/>
  <c r="F265" i="7"/>
  <c r="H261" i="7"/>
  <c r="E261" i="7"/>
  <c r="G260" i="7"/>
  <c r="G261" i="7" s="1"/>
  <c r="F259" i="7"/>
  <c r="F261" i="7" s="1"/>
  <c r="H255" i="7"/>
  <c r="E255" i="7"/>
  <c r="G254" i="7"/>
  <c r="G255" i="7" s="1"/>
  <c r="F253" i="7"/>
  <c r="F252" i="7"/>
  <c r="F251" i="7"/>
  <c r="F250" i="7"/>
  <c r="F249" i="7"/>
  <c r="F248" i="7"/>
  <c r="H244" i="7"/>
  <c r="E244" i="7"/>
  <c r="G243" i="7"/>
  <c r="G244" i="7" s="1"/>
  <c r="F242" i="7"/>
  <c r="F241" i="7"/>
  <c r="F240" i="7"/>
  <c r="F239" i="7"/>
  <c r="F238" i="7"/>
  <c r="F237" i="7"/>
  <c r="H233" i="7"/>
  <c r="E233" i="7"/>
  <c r="G232" i="7"/>
  <c r="G233" i="7" s="1"/>
  <c r="F231" i="7"/>
  <c r="F230" i="7"/>
  <c r="F229" i="7"/>
  <c r="F228" i="7"/>
  <c r="F227" i="7"/>
  <c r="F226" i="7"/>
  <c r="H222" i="7"/>
  <c r="E222" i="7"/>
  <c r="G221" i="7"/>
  <c r="G222" i="7" s="1"/>
  <c r="F220" i="7"/>
  <c r="F219" i="7"/>
  <c r="F218" i="7"/>
  <c r="F217" i="7"/>
  <c r="F216" i="7"/>
  <c r="F215" i="7"/>
  <c r="H211" i="7"/>
  <c r="E211" i="7"/>
  <c r="G210" i="7"/>
  <c r="G211" i="7" s="1"/>
  <c r="F209" i="7"/>
  <c r="F211" i="7" s="1"/>
  <c r="H205" i="7"/>
  <c r="E205" i="7"/>
  <c r="G204" i="7"/>
  <c r="G205" i="7" s="1"/>
  <c r="F203" i="7"/>
  <c r="F205" i="7" s="1"/>
  <c r="H199" i="7"/>
  <c r="E199" i="7"/>
  <c r="G198" i="7"/>
  <c r="G199" i="7" s="1"/>
  <c r="F197" i="7"/>
  <c r="F199" i="7" s="1"/>
  <c r="H193" i="7"/>
  <c r="E193" i="7"/>
  <c r="G192" i="7"/>
  <c r="G193" i="7" s="1"/>
  <c r="F191" i="7"/>
  <c r="F193" i="7" s="1"/>
  <c r="H187" i="7"/>
  <c r="E187" i="7"/>
  <c r="G186" i="7"/>
  <c r="G187" i="7" s="1"/>
  <c r="F185" i="7"/>
  <c r="F187" i="7" s="1"/>
  <c r="H181" i="7"/>
  <c r="E181" i="7"/>
  <c r="G180" i="7"/>
  <c r="G181" i="7" s="1"/>
  <c r="F179" i="7"/>
  <c r="F178" i="7"/>
  <c r="F177" i="7"/>
  <c r="F176" i="7"/>
  <c r="F175" i="7"/>
  <c r="F174" i="7"/>
  <c r="F173" i="7"/>
  <c r="H169" i="7"/>
  <c r="E169" i="7"/>
  <c r="G168" i="7"/>
  <c r="G169" i="7" s="1"/>
  <c r="F167" i="7"/>
  <c r="F166" i="7"/>
  <c r="F165" i="7"/>
  <c r="F164" i="7"/>
  <c r="H160" i="7"/>
  <c r="E160" i="7"/>
  <c r="G159" i="7"/>
  <c r="G160" i="7" s="1"/>
  <c r="F158" i="7"/>
  <c r="F156" i="7"/>
  <c r="H152" i="7"/>
  <c r="E152" i="7"/>
  <c r="G151" i="7"/>
  <c r="G152" i="7" s="1"/>
  <c r="F150" i="7"/>
  <c r="F152" i="7" s="1"/>
  <c r="H146" i="7"/>
  <c r="E146" i="7"/>
  <c r="G145" i="7"/>
  <c r="G146" i="7" s="1"/>
  <c r="F144" i="7"/>
  <c r="F143" i="7"/>
  <c r="F142" i="7"/>
  <c r="F141" i="7"/>
  <c r="F140" i="7"/>
  <c r="H136" i="7"/>
  <c r="E136" i="7"/>
  <c r="G135" i="7"/>
  <c r="G136" i="7" s="1"/>
  <c r="F134" i="7"/>
  <c r="F133" i="7"/>
  <c r="F132" i="7"/>
  <c r="F131" i="7"/>
  <c r="F130" i="7"/>
  <c r="F129" i="7"/>
  <c r="H125" i="7"/>
  <c r="E125" i="7"/>
  <c r="G124" i="7"/>
  <c r="G125" i="7" s="1"/>
  <c r="F123" i="7"/>
  <c r="F122" i="7"/>
  <c r="F121" i="7"/>
  <c r="H117" i="7"/>
  <c r="G117" i="7"/>
  <c r="E117" i="7"/>
  <c r="F116" i="7"/>
  <c r="F117" i="7" s="1"/>
  <c r="H112" i="7"/>
  <c r="E112" i="7"/>
  <c r="G111" i="7"/>
  <c r="G112" i="7" s="1"/>
  <c r="F110" i="7"/>
  <c r="F109" i="7"/>
  <c r="H105" i="7"/>
  <c r="E105" i="7"/>
  <c r="G104" i="7"/>
  <c r="G105" i="7" s="1"/>
  <c r="F103" i="7"/>
  <c r="F102" i="7"/>
  <c r="H98" i="7"/>
  <c r="E98" i="7"/>
  <c r="G97" i="7"/>
  <c r="G98" i="7" s="1"/>
  <c r="F96" i="7"/>
  <c r="F95" i="7"/>
  <c r="F94" i="7"/>
  <c r="H90" i="7"/>
  <c r="E90" i="7"/>
  <c r="G89" i="7"/>
  <c r="G90" i="7" s="1"/>
  <c r="F88" i="7"/>
  <c r="F87" i="7"/>
  <c r="F86" i="7"/>
  <c r="H82" i="7"/>
  <c r="E82" i="7"/>
  <c r="G81" i="7"/>
  <c r="G82" i="7" s="1"/>
  <c r="F80" i="7"/>
  <c r="F79" i="7"/>
  <c r="F78" i="7"/>
  <c r="H74" i="7"/>
  <c r="E74" i="7"/>
  <c r="G73" i="7"/>
  <c r="G74" i="7" s="1"/>
  <c r="F72" i="7"/>
  <c r="F71" i="7"/>
  <c r="F70" i="7"/>
  <c r="H66" i="7"/>
  <c r="E66" i="7"/>
  <c r="G65" i="7"/>
  <c r="G66" i="7" s="1"/>
  <c r="F64" i="7"/>
  <c r="F66" i="7" s="1"/>
  <c r="H60" i="7"/>
  <c r="E60" i="7"/>
  <c r="G59" i="7"/>
  <c r="G60" i="7" s="1"/>
  <c r="F58" i="7"/>
  <c r="F60" i="7" s="1"/>
  <c r="H54" i="7"/>
  <c r="E54" i="7"/>
  <c r="G53" i="7"/>
  <c r="G54" i="7" s="1"/>
  <c r="F52" i="7"/>
  <c r="F51" i="7"/>
  <c r="F50" i="7"/>
  <c r="F49" i="7"/>
  <c r="F48" i="7"/>
  <c r="H44" i="7"/>
  <c r="E44" i="7"/>
  <c r="G43" i="7"/>
  <c r="G44" i="7" s="1"/>
  <c r="F42" i="7"/>
  <c r="F44" i="7" s="1"/>
  <c r="H38" i="7"/>
  <c r="E38" i="7"/>
  <c r="G37" i="7"/>
  <c r="G38" i="7" s="1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E13" i="7"/>
  <c r="G12" i="7"/>
  <c r="G13" i="7" s="1"/>
  <c r="H11" i="7"/>
  <c r="H13" i="7" s="1"/>
  <c r="F10" i="7"/>
  <c r="F13" i="7" s="1"/>
  <c r="E6" i="7"/>
  <c r="G5" i="7"/>
  <c r="G6" i="7" s="1"/>
  <c r="H4" i="7"/>
  <c r="H6" i="7" s="1"/>
  <c r="F3" i="7"/>
  <c r="F6" i="7" s="1"/>
  <c r="H792" i="6"/>
  <c r="E792" i="6"/>
  <c r="G791" i="6"/>
  <c r="G792" i="6" s="1"/>
  <c r="F790" i="6"/>
  <c r="F789" i="6"/>
  <c r="F788" i="6"/>
  <c r="G783" i="6"/>
  <c r="F783" i="6"/>
  <c r="E783" i="6"/>
  <c r="H782" i="6"/>
  <c r="H783" i="6" s="1"/>
  <c r="H778" i="6"/>
  <c r="E778" i="6"/>
  <c r="G777" i="6"/>
  <c r="G778" i="6" s="1"/>
  <c r="F776" i="6"/>
  <c r="F778" i="6" s="1"/>
  <c r="H772" i="6"/>
  <c r="G772" i="6"/>
  <c r="E772" i="6"/>
  <c r="G771" i="6"/>
  <c r="F770" i="6"/>
  <c r="F772" i="6" s="1"/>
  <c r="H766" i="6"/>
  <c r="E766" i="6"/>
  <c r="G765" i="6"/>
  <c r="G766" i="6" s="1"/>
  <c r="F764" i="6"/>
  <c r="F766" i="6" s="1"/>
  <c r="H760" i="6"/>
  <c r="E760" i="6"/>
  <c r="G759" i="6"/>
  <c r="G760" i="6" s="1"/>
  <c r="F758" i="6"/>
  <c r="F757" i="6"/>
  <c r="H753" i="6"/>
  <c r="E753" i="6"/>
  <c r="G752" i="6"/>
  <c r="G753" i="6" s="1"/>
  <c r="F751" i="6"/>
  <c r="F750" i="6"/>
  <c r="F753" i="6" s="1"/>
  <c r="H746" i="6"/>
  <c r="E746" i="6"/>
  <c r="G745" i="6"/>
  <c r="G746" i="6" s="1"/>
  <c r="F744" i="6"/>
  <c r="F743" i="6"/>
  <c r="H739" i="6"/>
  <c r="E739" i="6"/>
  <c r="G738" i="6"/>
  <c r="G739" i="6" s="1"/>
  <c r="F737" i="6"/>
  <c r="F736" i="6"/>
  <c r="F739" i="6" s="1"/>
  <c r="H732" i="6"/>
  <c r="G732" i="6"/>
  <c r="E732" i="6"/>
  <c r="G731" i="6"/>
  <c r="F730" i="6"/>
  <c r="F729" i="6"/>
  <c r="H725" i="6"/>
  <c r="E725" i="6"/>
  <c r="G724" i="6"/>
  <c r="G725" i="6" s="1"/>
  <c r="F723" i="6"/>
  <c r="F722" i="6"/>
  <c r="H718" i="6"/>
  <c r="G718" i="6"/>
  <c r="E718" i="6"/>
  <c r="F717" i="6"/>
  <c r="F718" i="6" s="1"/>
  <c r="H713" i="6"/>
  <c r="G713" i="6"/>
  <c r="E713" i="6"/>
  <c r="G712" i="6"/>
  <c r="F711" i="6"/>
  <c r="F710" i="6"/>
  <c r="F709" i="6"/>
  <c r="H705" i="6"/>
  <c r="E705" i="6"/>
  <c r="G704" i="6"/>
  <c r="G705" i="6" s="1"/>
  <c r="F703" i="6"/>
  <c r="F702" i="6"/>
  <c r="F701" i="6"/>
  <c r="F700" i="6"/>
  <c r="F699" i="6"/>
  <c r="F698" i="6"/>
  <c r="H694" i="6"/>
  <c r="E694" i="6"/>
  <c r="G693" i="6"/>
  <c r="G694" i="6" s="1"/>
  <c r="F692" i="6"/>
  <c r="F691" i="6"/>
  <c r="F690" i="6"/>
  <c r="F689" i="6"/>
  <c r="F688" i="6"/>
  <c r="F687" i="6"/>
  <c r="H683" i="6"/>
  <c r="E683" i="6"/>
  <c r="G682" i="6"/>
  <c r="G683" i="6" s="1"/>
  <c r="F681" i="6"/>
  <c r="F680" i="6"/>
  <c r="F679" i="6"/>
  <c r="F678" i="6"/>
  <c r="F677" i="6"/>
  <c r="F676" i="6"/>
  <c r="H672" i="6"/>
  <c r="E672" i="6"/>
  <c r="G671" i="6"/>
  <c r="G672" i="6" s="1"/>
  <c r="F670" i="6"/>
  <c r="F672" i="6" s="1"/>
  <c r="H666" i="6"/>
  <c r="E666" i="6"/>
  <c r="G665" i="6"/>
  <c r="G666" i="6" s="1"/>
  <c r="F664" i="6"/>
  <c r="F666" i="6" s="1"/>
  <c r="H660" i="6"/>
  <c r="E660" i="6"/>
  <c r="G659" i="6"/>
  <c r="G660" i="6" s="1"/>
  <c r="F658" i="6"/>
  <c r="F657" i="6"/>
  <c r="F656" i="6"/>
  <c r="H648" i="6"/>
  <c r="E648" i="6"/>
  <c r="G647" i="6"/>
  <c r="G648" i="6" s="1"/>
  <c r="F646" i="6"/>
  <c r="F645" i="6"/>
  <c r="F644" i="6"/>
  <c r="H640" i="6"/>
  <c r="E640" i="6"/>
  <c r="G639" i="6"/>
  <c r="G640" i="6" s="1"/>
  <c r="F638" i="6"/>
  <c r="F637" i="6"/>
  <c r="H633" i="6"/>
  <c r="E633" i="6"/>
  <c r="G632" i="6"/>
  <c r="G633" i="6" s="1"/>
  <c r="F631" i="6"/>
  <c r="F633" i="6" s="1"/>
  <c r="H626" i="6"/>
  <c r="E626" i="6"/>
  <c r="G625" i="6"/>
  <c r="G626" i="6" s="1"/>
  <c r="F624" i="6"/>
  <c r="F626" i="6" s="1"/>
  <c r="H620" i="6"/>
  <c r="E620" i="6"/>
  <c r="G619" i="6"/>
  <c r="G620" i="6" s="1"/>
  <c r="F618" i="6"/>
  <c r="F620" i="6" s="1"/>
  <c r="H614" i="6"/>
  <c r="E614" i="6"/>
  <c r="G613" i="6"/>
  <c r="G614" i="6" s="1"/>
  <c r="F612" i="6"/>
  <c r="F614" i="6" s="1"/>
  <c r="H608" i="6"/>
  <c r="E608" i="6"/>
  <c r="G607" i="6"/>
  <c r="G608" i="6" s="1"/>
  <c r="F606" i="6"/>
  <c r="F605" i="6"/>
  <c r="H601" i="6"/>
  <c r="E601" i="6"/>
  <c r="G600" i="6"/>
  <c r="G601" i="6" s="1"/>
  <c r="F599" i="6"/>
  <c r="F598" i="6"/>
  <c r="F601" i="6" s="1"/>
  <c r="H594" i="6"/>
  <c r="E594" i="6"/>
  <c r="G593" i="6"/>
  <c r="G594" i="6" s="1"/>
  <c r="F592" i="6"/>
  <c r="F591" i="6"/>
  <c r="F590" i="6"/>
  <c r="F589" i="6"/>
  <c r="H585" i="6"/>
  <c r="E585" i="6"/>
  <c r="G584" i="6"/>
  <c r="G585" i="6" s="1"/>
  <c r="F583" i="6"/>
  <c r="F582" i="6"/>
  <c r="F581" i="6"/>
  <c r="F580" i="6"/>
  <c r="H576" i="6"/>
  <c r="E576" i="6"/>
  <c r="G575" i="6"/>
  <c r="G576" i="6" s="1"/>
  <c r="F574" i="6"/>
  <c r="F573" i="6"/>
  <c r="F572" i="6"/>
  <c r="F571" i="6"/>
  <c r="F570" i="6"/>
  <c r="F569" i="6"/>
  <c r="F568" i="6"/>
  <c r="H564" i="6"/>
  <c r="E564" i="6"/>
  <c r="G563" i="6"/>
  <c r="G564" i="6" s="1"/>
  <c r="F562" i="6"/>
  <c r="F561" i="6"/>
  <c r="F560" i="6"/>
  <c r="F559" i="6"/>
  <c r="F558" i="6"/>
  <c r="F557" i="6"/>
  <c r="H553" i="6"/>
  <c r="E553" i="6"/>
  <c r="G552" i="6"/>
  <c r="G553" i="6" s="1"/>
  <c r="F551" i="6"/>
  <c r="F550" i="6"/>
  <c r="F549" i="6"/>
  <c r="F548" i="6"/>
  <c r="F547" i="6"/>
  <c r="F546" i="6"/>
  <c r="H542" i="6"/>
  <c r="E542" i="6"/>
  <c r="G541" i="6"/>
  <c r="G542" i="6" s="1"/>
  <c r="F540" i="6"/>
  <c r="F539" i="6"/>
  <c r="F538" i="6"/>
  <c r="F537" i="6"/>
  <c r="F536" i="6"/>
  <c r="F535" i="6"/>
  <c r="H531" i="6"/>
  <c r="E531" i="6"/>
  <c r="G530" i="6"/>
  <c r="G531" i="6" s="1"/>
  <c r="F529" i="6"/>
  <c r="F528" i="6"/>
  <c r="F527" i="6"/>
  <c r="F526" i="6"/>
  <c r="F525" i="6"/>
  <c r="F524" i="6"/>
  <c r="H520" i="6"/>
  <c r="E520" i="6"/>
  <c r="G519" i="6"/>
  <c r="G520" i="6" s="1"/>
  <c r="F518" i="6"/>
  <c r="F517" i="6"/>
  <c r="F516" i="6"/>
  <c r="F515" i="6"/>
  <c r="F514" i="6"/>
  <c r="F513" i="6"/>
  <c r="H509" i="6"/>
  <c r="E509" i="6"/>
  <c r="G508" i="6"/>
  <c r="G509" i="6" s="1"/>
  <c r="F507" i="6"/>
  <c r="F506" i="6"/>
  <c r="F505" i="6"/>
  <c r="F504" i="6"/>
  <c r="F503" i="6"/>
  <c r="F502" i="6"/>
  <c r="H498" i="6"/>
  <c r="E498" i="6"/>
  <c r="G497" i="6"/>
  <c r="G498" i="6" s="1"/>
  <c r="F496" i="6"/>
  <c r="F495" i="6"/>
  <c r="F494" i="6"/>
  <c r="F493" i="6"/>
  <c r="F492" i="6"/>
  <c r="F491" i="6"/>
  <c r="H487" i="6"/>
  <c r="E487" i="6"/>
  <c r="G486" i="6"/>
  <c r="G487" i="6" s="1"/>
  <c r="F485" i="6"/>
  <c r="F484" i="6"/>
  <c r="F483" i="6"/>
  <c r="F482" i="6"/>
  <c r="F481" i="6"/>
  <c r="F480" i="6"/>
  <c r="H476" i="6"/>
  <c r="E476" i="6"/>
  <c r="G475" i="6"/>
  <c r="G476" i="6" s="1"/>
  <c r="F474" i="6"/>
  <c r="F473" i="6"/>
  <c r="F472" i="6"/>
  <c r="F471" i="6"/>
  <c r="F470" i="6"/>
  <c r="F469" i="6"/>
  <c r="H465" i="6"/>
  <c r="E465" i="6"/>
  <c r="G464" i="6"/>
  <c r="G465" i="6" s="1"/>
  <c r="F463" i="6"/>
  <c r="F462" i="6"/>
  <c r="F461" i="6"/>
  <c r="F460" i="6"/>
  <c r="F459" i="6"/>
  <c r="F458" i="6"/>
  <c r="H454" i="6"/>
  <c r="E454" i="6"/>
  <c r="G453" i="6"/>
  <c r="G454" i="6" s="1"/>
  <c r="F452" i="6"/>
  <c r="F451" i="6"/>
  <c r="F450" i="6"/>
  <c r="F449" i="6"/>
  <c r="F448" i="6"/>
  <c r="F447" i="6"/>
  <c r="H443" i="6"/>
  <c r="E443" i="6"/>
  <c r="G442" i="6"/>
  <c r="G443" i="6" s="1"/>
  <c r="F441" i="6"/>
  <c r="F443" i="6" s="1"/>
  <c r="H437" i="6"/>
  <c r="E437" i="6"/>
  <c r="G436" i="6"/>
  <c r="G437" i="6" s="1"/>
  <c r="F435" i="6"/>
  <c r="F437" i="6" s="1"/>
  <c r="H431" i="6"/>
  <c r="G431" i="6"/>
  <c r="E431" i="6"/>
  <c r="G430" i="6"/>
  <c r="F429" i="6"/>
  <c r="F431" i="6" s="1"/>
  <c r="H425" i="6"/>
  <c r="E425" i="6"/>
  <c r="G424" i="6"/>
  <c r="G425" i="6" s="1"/>
  <c r="F423" i="6"/>
  <c r="F425" i="6" s="1"/>
  <c r="H419" i="6"/>
  <c r="E419" i="6"/>
  <c r="G418" i="6"/>
  <c r="G419" i="6" s="1"/>
  <c r="F417" i="6"/>
  <c r="F419" i="6" s="1"/>
  <c r="H413" i="6"/>
  <c r="E413" i="6"/>
  <c r="G412" i="6"/>
  <c r="G413" i="6" s="1"/>
  <c r="F411" i="6"/>
  <c r="F413" i="6" s="1"/>
  <c r="H407" i="6"/>
  <c r="E407" i="6"/>
  <c r="G406" i="6"/>
  <c r="G407" i="6" s="1"/>
  <c r="F405" i="6"/>
  <c r="F407" i="6" s="1"/>
  <c r="H401" i="6"/>
  <c r="E401" i="6"/>
  <c r="G400" i="6"/>
  <c r="G401" i="6" s="1"/>
  <c r="F399" i="6"/>
  <c r="F401" i="6" s="1"/>
  <c r="H395" i="6"/>
  <c r="E395" i="6"/>
  <c r="G394" i="6"/>
  <c r="G395" i="6" s="1"/>
  <c r="F393" i="6"/>
  <c r="F395" i="6" s="1"/>
  <c r="H389" i="6"/>
  <c r="E389" i="6"/>
  <c r="G388" i="6"/>
  <c r="G389" i="6" s="1"/>
  <c r="F387" i="6"/>
  <c r="F389" i="6" s="1"/>
  <c r="H383" i="6"/>
  <c r="E383" i="6"/>
  <c r="G382" i="6"/>
  <c r="G383" i="6" s="1"/>
  <c r="F381" i="6"/>
  <c r="F383" i="6" s="1"/>
  <c r="H377" i="6"/>
  <c r="E377" i="6"/>
  <c r="G376" i="6"/>
  <c r="G377" i="6" s="1"/>
  <c r="F375" i="6"/>
  <c r="F377" i="6" s="1"/>
  <c r="F374" i="6"/>
  <c r="H370" i="6"/>
  <c r="E370" i="6"/>
  <c r="G369" i="6"/>
  <c r="G370" i="6" s="1"/>
  <c r="F368" i="6"/>
  <c r="F367" i="6"/>
  <c r="F366" i="6"/>
  <c r="H362" i="6"/>
  <c r="E362" i="6"/>
  <c r="G361" i="6"/>
  <c r="G362" i="6" s="1"/>
  <c r="F360" i="6"/>
  <c r="F359" i="6"/>
  <c r="H355" i="6"/>
  <c r="G355" i="6"/>
  <c r="E355" i="6"/>
  <c r="G354" i="6"/>
  <c r="F353" i="6"/>
  <c r="F352" i="6"/>
  <c r="F351" i="6"/>
  <c r="H347" i="6"/>
  <c r="E347" i="6"/>
  <c r="G346" i="6"/>
  <c r="G347" i="6" s="1"/>
  <c r="F345" i="6"/>
  <c r="F344" i="6"/>
  <c r="H340" i="6"/>
  <c r="E340" i="6"/>
  <c r="G339" i="6"/>
  <c r="G340" i="6" s="1"/>
  <c r="F338" i="6"/>
  <c r="F337" i="6"/>
  <c r="F336" i="6"/>
  <c r="F340" i="6" s="1"/>
  <c r="B340" i="6" s="1"/>
  <c r="H332" i="6"/>
  <c r="E332" i="6"/>
  <c r="G331" i="6"/>
  <c r="G332" i="6" s="1"/>
  <c r="F330" i="6"/>
  <c r="F329" i="6"/>
  <c r="H325" i="6"/>
  <c r="E325" i="6"/>
  <c r="G324" i="6"/>
  <c r="G325" i="6" s="1"/>
  <c r="F323" i="6"/>
  <c r="F322" i="6"/>
  <c r="F321" i="6"/>
  <c r="H317" i="6"/>
  <c r="E317" i="6"/>
  <c r="G316" i="6"/>
  <c r="G317" i="6" s="1"/>
  <c r="F315" i="6"/>
  <c r="F314" i="6"/>
  <c r="F313" i="6"/>
  <c r="H309" i="6"/>
  <c r="E309" i="6"/>
  <c r="G308" i="6"/>
  <c r="G309" i="6" s="1"/>
  <c r="F307" i="6"/>
  <c r="F306" i="6"/>
  <c r="F305" i="6"/>
  <c r="H288" i="6"/>
  <c r="E288" i="6"/>
  <c r="G287" i="6"/>
  <c r="G288" i="6" s="1"/>
  <c r="F286" i="6"/>
  <c r="F285" i="6"/>
  <c r="F284" i="6"/>
  <c r="H280" i="6"/>
  <c r="E280" i="6"/>
  <c r="G279" i="6"/>
  <c r="G280" i="6" s="1"/>
  <c r="F278" i="6"/>
  <c r="F277" i="6"/>
  <c r="F276" i="6"/>
  <c r="H272" i="6"/>
  <c r="E272" i="6"/>
  <c r="G271" i="6"/>
  <c r="G272" i="6" s="1"/>
  <c r="F270" i="6"/>
  <c r="F269" i="6"/>
  <c r="F268" i="6"/>
  <c r="H264" i="6"/>
  <c r="E264" i="6"/>
  <c r="G263" i="6"/>
  <c r="G264" i="6" s="1"/>
  <c r="F262" i="6"/>
  <c r="F261" i="6"/>
  <c r="F260" i="6"/>
  <c r="F259" i="6"/>
  <c r="F258" i="6"/>
  <c r="H254" i="6"/>
  <c r="E254" i="6"/>
  <c r="G253" i="6"/>
  <c r="G254" i="6" s="1"/>
  <c r="F252" i="6"/>
  <c r="F254" i="6" s="1"/>
  <c r="H248" i="6"/>
  <c r="E248" i="6"/>
  <c r="G247" i="6"/>
  <c r="G248" i="6" s="1"/>
  <c r="F246" i="6"/>
  <c r="F248" i="6" s="1"/>
  <c r="H242" i="6"/>
  <c r="E242" i="6"/>
  <c r="G241" i="6"/>
  <c r="G242" i="6" s="1"/>
  <c r="F240" i="6"/>
  <c r="F242" i="6" s="1"/>
  <c r="H220" i="6"/>
  <c r="E220" i="6"/>
  <c r="G219" i="6"/>
  <c r="G220" i="6" s="1"/>
  <c r="F218" i="6"/>
  <c r="F217" i="6"/>
  <c r="F216" i="6"/>
  <c r="F215" i="6"/>
  <c r="H211" i="6"/>
  <c r="E211" i="6"/>
  <c r="G210" i="6"/>
  <c r="G211" i="6" s="1"/>
  <c r="F209" i="6"/>
  <c r="F208" i="6"/>
  <c r="H197" i="6"/>
  <c r="G197" i="6"/>
  <c r="E197" i="6"/>
  <c r="G196" i="6"/>
  <c r="F195" i="6"/>
  <c r="F194" i="6"/>
  <c r="F193" i="6"/>
  <c r="F192" i="6"/>
  <c r="F191" i="6"/>
  <c r="F190" i="6"/>
  <c r="H180" i="6"/>
  <c r="E180" i="6"/>
  <c r="G179" i="6"/>
  <c r="G180" i="6" s="1"/>
  <c r="F178" i="6"/>
  <c r="F180" i="6" s="1"/>
  <c r="H174" i="6"/>
  <c r="E174" i="6"/>
  <c r="G173" i="6"/>
  <c r="G174" i="6" s="1"/>
  <c r="F172" i="6"/>
  <c r="F174" i="6" s="1"/>
  <c r="H168" i="6"/>
  <c r="E168" i="6"/>
  <c r="G167" i="6"/>
  <c r="G168" i="6" s="1"/>
  <c r="F166" i="6"/>
  <c r="F168" i="6" s="1"/>
  <c r="H162" i="6"/>
  <c r="E162" i="6"/>
  <c r="G161" i="6"/>
  <c r="G162" i="6" s="1"/>
  <c r="F160" i="6"/>
  <c r="F162" i="6" s="1"/>
  <c r="B162" i="6" s="1"/>
  <c r="F159" i="6"/>
  <c r="H155" i="6"/>
  <c r="G155" i="6"/>
  <c r="E155" i="6"/>
  <c r="F154" i="6"/>
  <c r="F155" i="6" s="1"/>
  <c r="H150" i="6"/>
  <c r="E150" i="6"/>
  <c r="G149" i="6"/>
  <c r="G150" i="6" s="1"/>
  <c r="F148" i="6"/>
  <c r="F147" i="6"/>
  <c r="H143" i="6"/>
  <c r="E143" i="6"/>
  <c r="G142" i="6"/>
  <c r="G143" i="6" s="1"/>
  <c r="F141" i="6"/>
  <c r="F143" i="6" s="1"/>
  <c r="H137" i="6"/>
  <c r="G137" i="6"/>
  <c r="E137" i="6"/>
  <c r="G136" i="6"/>
  <c r="F135" i="6"/>
  <c r="F134" i="6"/>
  <c r="F137" i="6" s="1"/>
  <c r="H123" i="6"/>
  <c r="E123" i="6"/>
  <c r="G122" i="6"/>
  <c r="G123" i="6" s="1"/>
  <c r="F121" i="6"/>
  <c r="F120" i="6"/>
  <c r="F119" i="6"/>
  <c r="H115" i="6"/>
  <c r="E115" i="6"/>
  <c r="G114" i="6"/>
  <c r="G115" i="6" s="1"/>
  <c r="F113" i="6"/>
  <c r="F112" i="6"/>
  <c r="H108" i="6"/>
  <c r="E108" i="6"/>
  <c r="G107" i="6"/>
  <c r="G108" i="6" s="1"/>
  <c r="F106" i="6"/>
  <c r="F105" i="6"/>
  <c r="F108" i="6" s="1"/>
  <c r="H101" i="6"/>
  <c r="E101" i="6"/>
  <c r="G100" i="6"/>
  <c r="G101" i="6" s="1"/>
  <c r="F99" i="6"/>
  <c r="F98" i="6"/>
  <c r="F97" i="6"/>
  <c r="H93" i="6"/>
  <c r="G93" i="6"/>
  <c r="E93" i="6"/>
  <c r="G92" i="6"/>
  <c r="F91" i="6"/>
  <c r="F90" i="6"/>
  <c r="F89" i="6"/>
  <c r="H85" i="6"/>
  <c r="E85" i="6"/>
  <c r="G84" i="6"/>
  <c r="G85" i="6" s="1"/>
  <c r="F83" i="6"/>
  <c r="F85" i="6" s="1"/>
  <c r="H79" i="6"/>
  <c r="G79" i="6"/>
  <c r="F79" i="6"/>
  <c r="E79" i="6"/>
  <c r="G78" i="6"/>
  <c r="F77" i="6"/>
  <c r="H73" i="6"/>
  <c r="E73" i="6"/>
  <c r="G72" i="6"/>
  <c r="G73" i="6" s="1"/>
  <c r="F71" i="6"/>
  <c r="F70" i="6"/>
  <c r="F69" i="6"/>
  <c r="F68" i="6"/>
  <c r="H64" i="6"/>
  <c r="E64" i="6"/>
  <c r="G63" i="6"/>
  <c r="G64" i="6" s="1"/>
  <c r="F62" i="6"/>
  <c r="F61" i="6"/>
  <c r="F60" i="6"/>
  <c r="F59" i="6"/>
  <c r="F58" i="6"/>
  <c r="F57" i="6"/>
  <c r="F56" i="6"/>
  <c r="H52" i="6"/>
  <c r="E52" i="6"/>
  <c r="G51" i="6"/>
  <c r="G52" i="6" s="1"/>
  <c r="F50" i="6"/>
  <c r="F49" i="6"/>
  <c r="F48" i="6"/>
  <c r="H44" i="6"/>
  <c r="E44" i="6"/>
  <c r="G43" i="6"/>
  <c r="G44" i="6" s="1"/>
  <c r="F42" i="6"/>
  <c r="F41" i="6"/>
  <c r="F44" i="6" s="1"/>
  <c r="H37" i="6"/>
  <c r="E37" i="6"/>
  <c r="G36" i="6"/>
  <c r="G37" i="6" s="1"/>
  <c r="F35" i="6"/>
  <c r="F34" i="6"/>
  <c r="H30" i="6"/>
  <c r="G30" i="6"/>
  <c r="F30" i="6"/>
  <c r="E30" i="6"/>
  <c r="F29" i="6"/>
  <c r="H25" i="6"/>
  <c r="E25" i="6"/>
  <c r="G24" i="6"/>
  <c r="G25" i="6" s="1"/>
  <c r="F23" i="6"/>
  <c r="F22" i="6"/>
  <c r="F21" i="6"/>
  <c r="F20" i="6"/>
  <c r="H16" i="6"/>
  <c r="G15" i="6"/>
  <c r="G16" i="6" s="1"/>
  <c r="E14" i="6"/>
  <c r="E16" i="6" s="1"/>
  <c r="F13" i="6"/>
  <c r="F12" i="6"/>
  <c r="F11" i="6"/>
  <c r="F10" i="6"/>
  <c r="F9" i="6"/>
  <c r="F8" i="6"/>
  <c r="F7" i="6"/>
  <c r="F6" i="6"/>
  <c r="F5" i="6"/>
  <c r="F4" i="6"/>
  <c r="F3" i="6"/>
  <c r="F2" i="6"/>
  <c r="G671" i="5"/>
  <c r="F671" i="5"/>
  <c r="E671" i="5"/>
  <c r="H670" i="5"/>
  <c r="H671" i="5" s="1"/>
  <c r="H666" i="5"/>
  <c r="E666" i="5"/>
  <c r="G665" i="5"/>
  <c r="G666" i="5" s="1"/>
  <c r="F664" i="5"/>
  <c r="F666" i="5" s="1"/>
  <c r="H660" i="5"/>
  <c r="E660" i="5"/>
  <c r="G659" i="5"/>
  <c r="G660" i="5" s="1"/>
  <c r="F658" i="5"/>
  <c r="F660" i="5" s="1"/>
  <c r="H654" i="5"/>
  <c r="E654" i="5"/>
  <c r="G653" i="5"/>
  <c r="G654" i="5" s="1"/>
  <c r="F652" i="5"/>
  <c r="F654" i="5" s="1"/>
  <c r="H648" i="5"/>
  <c r="E648" i="5"/>
  <c r="G647" i="5"/>
  <c r="G648" i="5" s="1"/>
  <c r="F646" i="5"/>
  <c r="F645" i="5"/>
  <c r="H641" i="5"/>
  <c r="E641" i="5"/>
  <c r="G640" i="5"/>
  <c r="G641" i="5" s="1"/>
  <c r="F639" i="5"/>
  <c r="F638" i="5"/>
  <c r="H634" i="5"/>
  <c r="E634" i="5"/>
  <c r="G633" i="5"/>
  <c r="G634" i="5" s="1"/>
  <c r="F632" i="5"/>
  <c r="F631" i="5"/>
  <c r="H627" i="5"/>
  <c r="E627" i="5"/>
  <c r="G626" i="5"/>
  <c r="G627" i="5" s="1"/>
  <c r="F625" i="5"/>
  <c r="F627" i="5" s="1"/>
  <c r="F624" i="5"/>
  <c r="H620" i="5"/>
  <c r="E620" i="5"/>
  <c r="G619" i="5"/>
  <c r="G620" i="5" s="1"/>
  <c r="F618" i="5"/>
  <c r="F617" i="5"/>
  <c r="H606" i="5"/>
  <c r="E606" i="5"/>
  <c r="G605" i="5"/>
  <c r="G606" i="5" s="1"/>
  <c r="F604" i="5"/>
  <c r="F603" i="5"/>
  <c r="F602" i="5"/>
  <c r="H598" i="5"/>
  <c r="E598" i="5"/>
  <c r="G597" i="5"/>
  <c r="G598" i="5" s="1"/>
  <c r="F596" i="5"/>
  <c r="F595" i="5"/>
  <c r="H591" i="5"/>
  <c r="G591" i="5"/>
  <c r="E591" i="5"/>
  <c r="F590" i="5"/>
  <c r="F591" i="5" s="1"/>
  <c r="H586" i="5"/>
  <c r="E586" i="5"/>
  <c r="G585" i="5"/>
  <c r="G586" i="5" s="1"/>
  <c r="F584" i="5"/>
  <c r="F583" i="5"/>
  <c r="F582" i="5"/>
  <c r="H578" i="5"/>
  <c r="E578" i="5"/>
  <c r="G577" i="5"/>
  <c r="G578" i="5" s="1"/>
  <c r="F576" i="5"/>
  <c r="F575" i="5"/>
  <c r="F574" i="5"/>
  <c r="F573" i="5"/>
  <c r="F572" i="5"/>
  <c r="F571" i="5"/>
  <c r="H567" i="5"/>
  <c r="E567" i="5"/>
  <c r="G566" i="5"/>
  <c r="G567" i="5" s="1"/>
  <c r="F565" i="5"/>
  <c r="F564" i="5"/>
  <c r="F563" i="5"/>
  <c r="F562" i="5"/>
  <c r="F561" i="5"/>
  <c r="F560" i="5"/>
  <c r="H556" i="5"/>
  <c r="E556" i="5"/>
  <c r="G555" i="5"/>
  <c r="G556" i="5" s="1"/>
  <c r="F554" i="5"/>
  <c r="F553" i="5"/>
  <c r="F552" i="5"/>
  <c r="F551" i="5"/>
  <c r="F550" i="5"/>
  <c r="F549" i="5"/>
  <c r="H545" i="5"/>
  <c r="E545" i="5"/>
  <c r="G544" i="5"/>
  <c r="G545" i="5" s="1"/>
  <c r="F543" i="5"/>
  <c r="F545" i="5" s="1"/>
  <c r="H539" i="5"/>
  <c r="E539" i="5"/>
  <c r="G538" i="5"/>
  <c r="G539" i="5" s="1"/>
  <c r="F537" i="5"/>
  <c r="F539" i="5" s="1"/>
  <c r="H533" i="5"/>
  <c r="E533" i="5"/>
  <c r="G532" i="5"/>
  <c r="G533" i="5" s="1"/>
  <c r="F531" i="5"/>
  <c r="F530" i="5"/>
  <c r="F529" i="5"/>
  <c r="H521" i="5"/>
  <c r="E521" i="5"/>
  <c r="G520" i="5"/>
  <c r="G521" i="5" s="1"/>
  <c r="F519" i="5"/>
  <c r="F518" i="5"/>
  <c r="F517" i="5"/>
  <c r="H513" i="5"/>
  <c r="E513" i="5"/>
  <c r="G512" i="5"/>
  <c r="G513" i="5" s="1"/>
  <c r="F511" i="5"/>
  <c r="F510" i="5"/>
  <c r="H506" i="5"/>
  <c r="E506" i="5"/>
  <c r="G505" i="5"/>
  <c r="G506" i="5" s="1"/>
  <c r="F504" i="5"/>
  <c r="F506" i="5" s="1"/>
  <c r="H500" i="5"/>
  <c r="E500" i="5"/>
  <c r="G499" i="5"/>
  <c r="G500" i="5" s="1"/>
  <c r="F498" i="5"/>
  <c r="F497" i="5"/>
  <c r="F496" i="5"/>
  <c r="F495" i="5"/>
  <c r="H491" i="5"/>
  <c r="E491" i="5"/>
  <c r="G490" i="5"/>
  <c r="G491" i="5" s="1"/>
  <c r="F489" i="5"/>
  <c r="F488" i="5"/>
  <c r="F487" i="5"/>
  <c r="F486" i="5"/>
  <c r="H482" i="5"/>
  <c r="E482" i="5"/>
  <c r="G481" i="5"/>
  <c r="G482" i="5" s="1"/>
  <c r="F480" i="5"/>
  <c r="F479" i="5"/>
  <c r="F478" i="5"/>
  <c r="F477" i="5"/>
  <c r="F476" i="5"/>
  <c r="F475" i="5"/>
  <c r="F474" i="5"/>
  <c r="H470" i="5"/>
  <c r="E470" i="5"/>
  <c r="G469" i="5"/>
  <c r="G470" i="5" s="1"/>
  <c r="F468" i="5"/>
  <c r="F467" i="5"/>
  <c r="F466" i="5"/>
  <c r="F465" i="5"/>
  <c r="F464" i="5"/>
  <c r="F463" i="5"/>
  <c r="H459" i="5"/>
  <c r="E459" i="5"/>
  <c r="G458" i="5"/>
  <c r="G459" i="5" s="1"/>
  <c r="F457" i="5"/>
  <c r="F456" i="5"/>
  <c r="F455" i="5"/>
  <c r="F454" i="5"/>
  <c r="F453" i="5"/>
  <c r="F452" i="5"/>
  <c r="H448" i="5"/>
  <c r="E448" i="5"/>
  <c r="G447" i="5"/>
  <c r="G448" i="5" s="1"/>
  <c r="F446" i="5"/>
  <c r="F445" i="5"/>
  <c r="F444" i="5"/>
  <c r="F443" i="5"/>
  <c r="F442" i="5"/>
  <c r="F441" i="5"/>
  <c r="H437" i="5"/>
  <c r="E437" i="5"/>
  <c r="G436" i="5"/>
  <c r="G437" i="5" s="1"/>
  <c r="F435" i="5"/>
  <c r="F434" i="5"/>
  <c r="F433" i="5"/>
  <c r="F432" i="5"/>
  <c r="F431" i="5"/>
  <c r="F430" i="5"/>
  <c r="H426" i="5"/>
  <c r="E426" i="5"/>
  <c r="G425" i="5"/>
  <c r="G426" i="5" s="1"/>
  <c r="F424" i="5"/>
  <c r="F423" i="5"/>
  <c r="F422" i="5"/>
  <c r="F421" i="5"/>
  <c r="F420" i="5"/>
  <c r="F419" i="5"/>
  <c r="H415" i="5"/>
  <c r="E415" i="5"/>
  <c r="G414" i="5"/>
  <c r="G415" i="5" s="1"/>
  <c r="F413" i="5"/>
  <c r="F412" i="5"/>
  <c r="F411" i="5"/>
  <c r="F410" i="5"/>
  <c r="F409" i="5"/>
  <c r="F408" i="5"/>
  <c r="H404" i="5"/>
  <c r="E404" i="5"/>
  <c r="G403" i="5"/>
  <c r="G404" i="5" s="1"/>
  <c r="F402" i="5"/>
  <c r="F401" i="5"/>
  <c r="F400" i="5"/>
  <c r="F399" i="5"/>
  <c r="F398" i="5"/>
  <c r="F397" i="5"/>
  <c r="H393" i="5"/>
  <c r="E393" i="5"/>
  <c r="G392" i="5"/>
  <c r="G393" i="5" s="1"/>
  <c r="F391" i="5"/>
  <c r="F390" i="5"/>
  <c r="F389" i="5"/>
  <c r="F388" i="5"/>
  <c r="F387" i="5"/>
  <c r="F386" i="5"/>
  <c r="H382" i="5"/>
  <c r="E382" i="5"/>
  <c r="G381" i="5"/>
  <c r="G382" i="5" s="1"/>
  <c r="F380" i="5"/>
  <c r="F379" i="5"/>
  <c r="F378" i="5"/>
  <c r="F377" i="5"/>
  <c r="F376" i="5"/>
  <c r="F375" i="5"/>
  <c r="H371" i="5"/>
  <c r="E371" i="5"/>
  <c r="G370" i="5"/>
  <c r="G371" i="5" s="1"/>
  <c r="F369" i="5"/>
  <c r="F368" i="5"/>
  <c r="F367" i="5"/>
  <c r="F366" i="5"/>
  <c r="F365" i="5"/>
  <c r="F364" i="5"/>
  <c r="H360" i="5"/>
  <c r="E360" i="5"/>
  <c r="G359" i="5"/>
  <c r="G360" i="5" s="1"/>
  <c r="F358" i="5"/>
  <c r="F357" i="5"/>
  <c r="F356" i="5"/>
  <c r="F355" i="5"/>
  <c r="F354" i="5"/>
  <c r="H350" i="5"/>
  <c r="E350" i="5"/>
  <c r="G349" i="5"/>
  <c r="G350" i="5" s="1"/>
  <c r="F348" i="5"/>
  <c r="F350" i="5" s="1"/>
  <c r="H344" i="5"/>
  <c r="E344" i="5"/>
  <c r="G343" i="5"/>
  <c r="G344" i="5" s="1"/>
  <c r="F342" i="5"/>
  <c r="F344" i="5" s="1"/>
  <c r="H338" i="5"/>
  <c r="E338" i="5"/>
  <c r="G337" i="5"/>
  <c r="G338" i="5" s="1"/>
  <c r="F336" i="5"/>
  <c r="F338" i="5" s="1"/>
  <c r="H332" i="5"/>
  <c r="E332" i="5"/>
  <c r="G331" i="5"/>
  <c r="G332" i="5" s="1"/>
  <c r="F330" i="5"/>
  <c r="F332" i="5" s="1"/>
  <c r="H326" i="5"/>
  <c r="E326" i="5"/>
  <c r="G325" i="5"/>
  <c r="G326" i="5" s="1"/>
  <c r="F324" i="5"/>
  <c r="F326" i="5" s="1"/>
  <c r="H320" i="5"/>
  <c r="E320" i="5"/>
  <c r="G319" i="5"/>
  <c r="G320" i="5" s="1"/>
  <c r="F318" i="5"/>
  <c r="F320" i="5" s="1"/>
  <c r="H314" i="5"/>
  <c r="E314" i="5"/>
  <c r="G313" i="5"/>
  <c r="G314" i="5" s="1"/>
  <c r="F312" i="5"/>
  <c r="F314" i="5" s="1"/>
  <c r="H308" i="5"/>
  <c r="E308" i="5"/>
  <c r="G307" i="5"/>
  <c r="G308" i="5" s="1"/>
  <c r="F306" i="5"/>
  <c r="F308" i="5" s="1"/>
  <c r="H302" i="5"/>
  <c r="E302" i="5"/>
  <c r="G301" i="5"/>
  <c r="G302" i="5" s="1"/>
  <c r="F300" i="5"/>
  <c r="F302" i="5" s="1"/>
  <c r="H296" i="5"/>
  <c r="E296" i="5"/>
  <c r="G295" i="5"/>
  <c r="G296" i="5" s="1"/>
  <c r="F294" i="5"/>
  <c r="F296" i="5" s="1"/>
  <c r="H290" i="5"/>
  <c r="E290" i="5"/>
  <c r="G289" i="5"/>
  <c r="G290" i="5" s="1"/>
  <c r="F288" i="5"/>
  <c r="F290" i="5" s="1"/>
  <c r="H284" i="5"/>
  <c r="E284" i="5"/>
  <c r="G283" i="5"/>
  <c r="G284" i="5" s="1"/>
  <c r="F282" i="5"/>
  <c r="F281" i="5"/>
  <c r="H277" i="5"/>
  <c r="E277" i="5"/>
  <c r="G276" i="5"/>
  <c r="G277" i="5" s="1"/>
  <c r="F275" i="5"/>
  <c r="F274" i="5"/>
  <c r="F273" i="5"/>
  <c r="H269" i="5"/>
  <c r="E269" i="5"/>
  <c r="G268" i="5"/>
  <c r="G269" i="5" s="1"/>
  <c r="F267" i="5"/>
  <c r="F266" i="5"/>
  <c r="H262" i="5"/>
  <c r="E262" i="5"/>
  <c r="G261" i="5"/>
  <c r="G262" i="5" s="1"/>
  <c r="F260" i="5"/>
  <c r="F259" i="5"/>
  <c r="F258" i="5"/>
  <c r="H254" i="5"/>
  <c r="E254" i="5"/>
  <c r="G253" i="5"/>
  <c r="G254" i="5" s="1"/>
  <c r="F252" i="5"/>
  <c r="F251" i="5"/>
  <c r="H242" i="5"/>
  <c r="E242" i="5"/>
  <c r="G241" i="5"/>
  <c r="G242" i="5" s="1"/>
  <c r="F240" i="5"/>
  <c r="F239" i="5"/>
  <c r="F238" i="5"/>
  <c r="H234" i="5"/>
  <c r="E234" i="5"/>
  <c r="G233" i="5"/>
  <c r="G234" i="5" s="1"/>
  <c r="F232" i="5"/>
  <c r="F231" i="5"/>
  <c r="F230" i="5"/>
  <c r="H226" i="5"/>
  <c r="E226" i="5"/>
  <c r="G225" i="5"/>
  <c r="G226" i="5" s="1"/>
  <c r="F224" i="5"/>
  <c r="F226" i="5" s="1"/>
  <c r="F223" i="5"/>
  <c r="H219" i="5"/>
  <c r="E219" i="5"/>
  <c r="G218" i="5"/>
  <c r="G219" i="5" s="1"/>
  <c r="F217" i="5"/>
  <c r="F216" i="5"/>
  <c r="F215" i="5"/>
  <c r="H211" i="5"/>
  <c r="E211" i="5"/>
  <c r="G210" i="5"/>
  <c r="G211" i="5" s="1"/>
  <c r="F209" i="5"/>
  <c r="F208" i="5"/>
  <c r="F207" i="5"/>
  <c r="H203" i="5"/>
  <c r="E203" i="5"/>
  <c r="G202" i="5"/>
  <c r="G203" i="5" s="1"/>
  <c r="F201" i="5"/>
  <c r="F200" i="5"/>
  <c r="F199" i="5"/>
  <c r="H195" i="5"/>
  <c r="E195" i="5"/>
  <c r="G194" i="5"/>
  <c r="G195" i="5" s="1"/>
  <c r="F193" i="5"/>
  <c r="F192" i="5"/>
  <c r="F191" i="5"/>
  <c r="H187" i="5"/>
  <c r="G187" i="5"/>
  <c r="E187" i="5"/>
  <c r="F186" i="5"/>
  <c r="F187" i="5" s="1"/>
  <c r="H182" i="5"/>
  <c r="E182" i="5"/>
  <c r="G181" i="5"/>
  <c r="G182" i="5" s="1"/>
  <c r="F180" i="5"/>
  <c r="F179" i="5"/>
  <c r="F178" i="5"/>
  <c r="H174" i="5"/>
  <c r="E174" i="5"/>
  <c r="G173" i="5"/>
  <c r="G174" i="5" s="1"/>
  <c r="F172" i="5"/>
  <c r="F171" i="5"/>
  <c r="F170" i="5"/>
  <c r="H166" i="5"/>
  <c r="E166" i="5"/>
  <c r="G165" i="5"/>
  <c r="G166" i="5" s="1"/>
  <c r="F164" i="5"/>
  <c r="F163" i="5"/>
  <c r="F162" i="5"/>
  <c r="F166" i="5" s="1"/>
  <c r="H158" i="5"/>
  <c r="E158" i="5"/>
  <c r="G157" i="5"/>
  <c r="G158" i="5" s="1"/>
  <c r="F156" i="5"/>
  <c r="F155" i="5"/>
  <c r="F154" i="5"/>
  <c r="F153" i="5"/>
  <c r="F152" i="5"/>
  <c r="H148" i="5"/>
  <c r="E148" i="5"/>
  <c r="G147" i="5"/>
  <c r="G148" i="5" s="1"/>
  <c r="F146" i="5"/>
  <c r="F148" i="5" s="1"/>
  <c r="H142" i="5"/>
  <c r="E142" i="5"/>
  <c r="G141" i="5"/>
  <c r="G142" i="5" s="1"/>
  <c r="F140" i="5"/>
  <c r="F142" i="5" s="1"/>
  <c r="H136" i="5"/>
  <c r="E136" i="5"/>
  <c r="G135" i="5"/>
  <c r="G136" i="5" s="1"/>
  <c r="F134" i="5"/>
  <c r="F136" i="5" s="1"/>
  <c r="H130" i="5"/>
  <c r="E130" i="5"/>
  <c r="G129" i="5"/>
  <c r="G130" i="5" s="1"/>
  <c r="F128" i="5"/>
  <c r="F127" i="5"/>
  <c r="F126" i="5"/>
  <c r="F125" i="5"/>
  <c r="F124" i="5"/>
  <c r="F123" i="5"/>
  <c r="F122" i="5"/>
  <c r="F121" i="5"/>
  <c r="F120" i="5"/>
  <c r="F119" i="5"/>
  <c r="H115" i="5"/>
  <c r="E115" i="5"/>
  <c r="G114" i="5"/>
  <c r="G115" i="5" s="1"/>
  <c r="F113" i="5"/>
  <c r="F112" i="5"/>
  <c r="F111" i="5"/>
  <c r="F110" i="5"/>
  <c r="H106" i="5"/>
  <c r="E106" i="5"/>
  <c r="G105" i="5"/>
  <c r="G106" i="5" s="1"/>
  <c r="F104" i="5"/>
  <c r="F103" i="5"/>
  <c r="H99" i="5"/>
  <c r="E99" i="5"/>
  <c r="G98" i="5"/>
  <c r="G99" i="5" s="1"/>
  <c r="F97" i="5"/>
  <c r="F96" i="5"/>
  <c r="F99" i="5" s="1"/>
  <c r="H92" i="5"/>
  <c r="E92" i="5"/>
  <c r="G91" i="5"/>
  <c r="G92" i="5" s="1"/>
  <c r="F90" i="5"/>
  <c r="F89" i="5"/>
  <c r="F88" i="5"/>
  <c r="F87" i="5"/>
  <c r="F86" i="5"/>
  <c r="F85" i="5"/>
  <c r="H81" i="5"/>
  <c r="E81" i="5"/>
  <c r="G80" i="5"/>
  <c r="G81" i="5" s="1"/>
  <c r="F79" i="5"/>
  <c r="F81" i="5" s="1"/>
  <c r="H75" i="5"/>
  <c r="E75" i="5"/>
  <c r="G74" i="5"/>
  <c r="G75" i="5" s="1"/>
  <c r="F73" i="5"/>
  <c r="F75" i="5" s="1"/>
  <c r="H69" i="5"/>
  <c r="E69" i="5"/>
  <c r="G68" i="5"/>
  <c r="G69" i="5" s="1"/>
  <c r="F67" i="5"/>
  <c r="F69" i="5" s="1"/>
  <c r="H63" i="5"/>
  <c r="E63" i="5"/>
  <c r="G62" i="5"/>
  <c r="G63" i="5" s="1"/>
  <c r="F61" i="5"/>
  <c r="F63" i="5" s="1"/>
  <c r="H57" i="5"/>
  <c r="E57" i="5"/>
  <c r="G56" i="5"/>
  <c r="G57" i="5" s="1"/>
  <c r="F55" i="5"/>
  <c r="F54" i="5"/>
  <c r="H50" i="5"/>
  <c r="G50" i="5"/>
  <c r="E50" i="5"/>
  <c r="F49" i="5"/>
  <c r="F50" i="5" s="1"/>
  <c r="H45" i="5"/>
  <c r="E45" i="5"/>
  <c r="G44" i="5"/>
  <c r="G45" i="5" s="1"/>
  <c r="F43" i="5"/>
  <c r="F42" i="5"/>
  <c r="H38" i="5"/>
  <c r="E38" i="5"/>
  <c r="G37" i="5"/>
  <c r="G38" i="5" s="1"/>
  <c r="F36" i="5"/>
  <c r="F38" i="5" s="1"/>
  <c r="H32" i="5"/>
  <c r="E32" i="5"/>
  <c r="B32" i="5" s="1"/>
  <c r="G31" i="5"/>
  <c r="G32" i="5" s="1"/>
  <c r="F30" i="5"/>
  <c r="F29" i="5"/>
  <c r="F32" i="5" s="1"/>
  <c r="H25" i="5"/>
  <c r="E25" i="5"/>
  <c r="G24" i="5"/>
  <c r="G25" i="5" s="1"/>
  <c r="F23" i="5"/>
  <c r="F22" i="5"/>
  <c r="F21" i="5"/>
  <c r="F20" i="5"/>
  <c r="H16" i="5"/>
  <c r="G15" i="5"/>
  <c r="G16" i="5" s="1"/>
  <c r="E14" i="5"/>
  <c r="E16" i="5" s="1"/>
  <c r="F13" i="5"/>
  <c r="F12" i="5"/>
  <c r="F11" i="5"/>
  <c r="F10" i="5"/>
  <c r="F9" i="5"/>
  <c r="F8" i="5"/>
  <c r="F7" i="5"/>
  <c r="F6" i="5"/>
  <c r="F5" i="5"/>
  <c r="F4" i="5"/>
  <c r="F3" i="5"/>
  <c r="F2" i="5"/>
  <c r="F254" i="5" l="1"/>
  <c r="F634" i="5"/>
  <c r="F476" i="6"/>
  <c r="F585" i="6"/>
  <c r="B585" i="6" s="1"/>
  <c r="B614" i="6"/>
  <c r="B66" i="7"/>
  <c r="B1021" i="7"/>
  <c r="B1036" i="7"/>
  <c r="B63" i="5"/>
  <c r="F404" i="5"/>
  <c r="F448" i="5"/>
  <c r="F500" i="5"/>
  <c r="F521" i="5"/>
  <c r="F533" i="5"/>
  <c r="F556" i="5"/>
  <c r="F641" i="5"/>
  <c r="F648" i="5"/>
  <c r="F123" i="6"/>
  <c r="B123" i="6" s="1"/>
  <c r="F309" i="6"/>
  <c r="B407" i="6"/>
  <c r="F454" i="6"/>
  <c r="F520" i="6"/>
  <c r="F553" i="6"/>
  <c r="B152" i="7"/>
  <c r="F169" i="7"/>
  <c r="B169" i="7" s="1"/>
  <c r="F313" i="7"/>
  <c r="B313" i="7" s="1"/>
  <c r="F911" i="7"/>
  <c r="B911" i="7" s="1"/>
  <c r="B1015" i="7"/>
  <c r="F16" i="5"/>
  <c r="B148" i="5"/>
  <c r="B187" i="5"/>
  <c r="F195" i="5"/>
  <c r="F211" i="5"/>
  <c r="F269" i="5"/>
  <c r="F73" i="6"/>
  <c r="B73" i="6" s="1"/>
  <c r="B85" i="6"/>
  <c r="F101" i="6"/>
  <c r="B101" i="6" s="1"/>
  <c r="F211" i="6"/>
  <c r="B242" i="6"/>
  <c r="B377" i="6"/>
  <c r="B431" i="6"/>
  <c r="F498" i="6"/>
  <c r="F660" i="6"/>
  <c r="F725" i="6"/>
  <c r="F285" i="7"/>
  <c r="B810" i="7"/>
  <c r="F879" i="7"/>
  <c r="B879" i="7" s="1"/>
  <c r="F1029" i="7"/>
  <c r="B1029" i="7" s="1"/>
  <c r="F25" i="5"/>
  <c r="B25" i="5" s="1"/>
  <c r="B166" i="5"/>
  <c r="B383" i="6"/>
  <c r="B666" i="6"/>
  <c r="F683" i="6"/>
  <c r="B683" i="6" s="1"/>
  <c r="F57" i="5"/>
  <c r="B57" i="5" s="1"/>
  <c r="F115" i="5"/>
  <c r="B136" i="5"/>
  <c r="F174" i="5"/>
  <c r="F182" i="5"/>
  <c r="B182" i="5" s="1"/>
  <c r="F219" i="5"/>
  <c r="B219" i="5" s="1"/>
  <c r="B254" i="5"/>
  <c r="F262" i="5"/>
  <c r="F393" i="5"/>
  <c r="B393" i="5" s="1"/>
  <c r="F437" i="5"/>
  <c r="B437" i="5" s="1"/>
  <c r="F482" i="5"/>
  <c r="B506" i="5"/>
  <c r="F513" i="5"/>
  <c r="B513" i="5" s="1"/>
  <c r="F586" i="5"/>
  <c r="B586" i="5" s="1"/>
  <c r="B634" i="5"/>
  <c r="B180" i="6"/>
  <c r="F576" i="6"/>
  <c r="B576" i="6" s="1"/>
  <c r="B601" i="6"/>
  <c r="F732" i="6"/>
  <c r="B60" i="7"/>
  <c r="F74" i="7"/>
  <c r="F255" i="7"/>
  <c r="B291" i="7"/>
  <c r="B589" i="7"/>
  <c r="B760" i="7"/>
  <c r="F803" i="7"/>
  <c r="B803" i="7" s="1"/>
  <c r="F863" i="7"/>
  <c r="B962" i="7"/>
  <c r="B115" i="5"/>
  <c r="B168" i="6"/>
  <c r="F203" i="5"/>
  <c r="B389" i="6"/>
  <c r="F531" i="6"/>
  <c r="F694" i="6"/>
  <c r="B694" i="6" s="1"/>
  <c r="B772" i="6"/>
  <c r="F408" i="7"/>
  <c r="B408" i="7" s="1"/>
  <c r="B943" i="7"/>
  <c r="B987" i="7"/>
  <c r="F45" i="5"/>
  <c r="B45" i="5" s="1"/>
  <c r="F106" i="5"/>
  <c r="F130" i="5"/>
  <c r="B226" i="5"/>
  <c r="B30" i="6"/>
  <c r="F37" i="6"/>
  <c r="B37" i="6" s="1"/>
  <c r="B44" i="6"/>
  <c r="F93" i="6"/>
  <c r="F197" i="6"/>
  <c r="B197" i="6" s="1"/>
  <c r="F332" i="6"/>
  <c r="B332" i="6" s="1"/>
  <c r="F355" i="6"/>
  <c r="B355" i="6" s="1"/>
  <c r="B443" i="6"/>
  <c r="F746" i="6"/>
  <c r="B746" i="6" s="1"/>
  <c r="F125" i="7"/>
  <c r="B125" i="7" s="1"/>
  <c r="F160" i="7"/>
  <c r="F506" i="7"/>
  <c r="B506" i="7" s="1"/>
  <c r="F516" i="7"/>
  <c r="B516" i="7" s="1"/>
  <c r="F547" i="7"/>
  <c r="B547" i="7" s="1"/>
  <c r="F564" i="7"/>
  <c r="B564" i="7" s="1"/>
  <c r="F894" i="7"/>
  <c r="F903" i="7"/>
  <c r="B903" i="7" s="1"/>
  <c r="F284" i="5"/>
  <c r="F360" i="5"/>
  <c r="F371" i="5"/>
  <c r="B371" i="5" s="1"/>
  <c r="F415" i="5"/>
  <c r="B415" i="5" s="1"/>
  <c r="F459" i="5"/>
  <c r="B459" i="5" s="1"/>
  <c r="F491" i="5"/>
  <c r="B500" i="5"/>
  <c r="F567" i="5"/>
  <c r="B567" i="5" s="1"/>
  <c r="F598" i="5"/>
  <c r="F620" i="5"/>
  <c r="B666" i="5"/>
  <c r="F25" i="6"/>
  <c r="B25" i="6" s="1"/>
  <c r="B108" i="6"/>
  <c r="B143" i="6"/>
  <c r="F150" i="6"/>
  <c r="B150" i="6" s="1"/>
  <c r="B174" i="6"/>
  <c r="B254" i="6"/>
  <c r="F280" i="6"/>
  <c r="F325" i="6"/>
  <c r="B401" i="6"/>
  <c r="F487" i="6"/>
  <c r="F509" i="6"/>
  <c r="B626" i="6"/>
  <c r="F640" i="6"/>
  <c r="B640" i="6" s="1"/>
  <c r="F648" i="6"/>
  <c r="B648" i="6" s="1"/>
  <c r="F705" i="6"/>
  <c r="B705" i="6" s="1"/>
  <c r="F760" i="6"/>
  <c r="B760" i="6" s="1"/>
  <c r="B778" i="6"/>
  <c r="F54" i="7"/>
  <c r="F105" i="7"/>
  <c r="B105" i="7" s="1"/>
  <c r="F136" i="7"/>
  <c r="B136" i="7" s="1"/>
  <c r="B205" i="7"/>
  <c r="F233" i="7"/>
  <c r="B233" i="7" s="1"/>
  <c r="F277" i="7"/>
  <c r="B277" i="7" s="1"/>
  <c r="F484" i="7"/>
  <c r="B484" i="7" s="1"/>
  <c r="F531" i="7"/>
  <c r="B531" i="7" s="1"/>
  <c r="B553" i="7"/>
  <c r="F690" i="7"/>
  <c r="B886" i="7"/>
  <c r="B928" i="7"/>
  <c r="F995" i="7"/>
  <c r="B995" i="7" s="1"/>
  <c r="F1051" i="7"/>
  <c r="F1080" i="7"/>
  <c r="F234" i="5"/>
  <c r="B234" i="5" s="1"/>
  <c r="F242" i="5"/>
  <c r="B242" i="5" s="1"/>
  <c r="F277" i="5"/>
  <c r="B277" i="5" s="1"/>
  <c r="F382" i="5"/>
  <c r="B382" i="5" s="1"/>
  <c r="F426" i="5"/>
  <c r="B426" i="5" s="1"/>
  <c r="F470" i="5"/>
  <c r="B470" i="5" s="1"/>
  <c r="B491" i="5"/>
  <c r="B539" i="5"/>
  <c r="F578" i="5"/>
  <c r="B578" i="5" s="1"/>
  <c r="B591" i="5"/>
  <c r="F606" i="5"/>
  <c r="B606" i="5" s="1"/>
  <c r="B627" i="5"/>
  <c r="F16" i="6"/>
  <c r="B16" i="6" s="1"/>
  <c r="F64" i="6"/>
  <c r="F115" i="6"/>
  <c r="B115" i="6" s="1"/>
  <c r="B137" i="6"/>
  <c r="B155" i="6"/>
  <c r="F272" i="6"/>
  <c r="B272" i="6" s="1"/>
  <c r="F288" i="6"/>
  <c r="B288" i="6" s="1"/>
  <c r="F317" i="6"/>
  <c r="F347" i="6"/>
  <c r="B347" i="6" s="1"/>
  <c r="F362" i="6"/>
  <c r="B362" i="6" s="1"/>
  <c r="F370" i="6"/>
  <c r="B413" i="6"/>
  <c r="B437" i="6"/>
  <c r="F465" i="6"/>
  <c r="B465" i="6" s="1"/>
  <c r="F542" i="6"/>
  <c r="F564" i="6"/>
  <c r="F594" i="6"/>
  <c r="B594" i="6" s="1"/>
  <c r="F608" i="6"/>
  <c r="B608" i="6" s="1"/>
  <c r="F713" i="6"/>
  <c r="B713" i="6" s="1"/>
  <c r="B766" i="6"/>
  <c r="F792" i="6"/>
  <c r="B44" i="7"/>
  <c r="F82" i="7"/>
  <c r="F90" i="7"/>
  <c r="B90" i="7" s="1"/>
  <c r="F98" i="7"/>
  <c r="B98" i="7" s="1"/>
  <c r="F112" i="7"/>
  <c r="B112" i="7" s="1"/>
  <c r="F146" i="7"/>
  <c r="B187" i="7"/>
  <c r="B211" i="7"/>
  <c r="B255" i="7"/>
  <c r="B261" i="7"/>
  <c r="F357" i="7"/>
  <c r="B357" i="7" s="1"/>
  <c r="F452" i="7"/>
  <c r="B452" i="7" s="1"/>
  <c r="F493" i="7"/>
  <c r="B493" i="7" s="1"/>
  <c r="F787" i="7"/>
  <c r="B787" i="7" s="1"/>
  <c r="F795" i="7"/>
  <c r="B795" i="7" s="1"/>
  <c r="F818" i="7"/>
  <c r="B818" i="7" s="1"/>
  <c r="F826" i="7"/>
  <c r="B826" i="7" s="1"/>
  <c r="F922" i="7"/>
  <c r="B922" i="7" s="1"/>
  <c r="F979" i="7"/>
  <c r="B979" i="7" s="1"/>
  <c r="G1002" i="7"/>
  <c r="B1002" i="7" s="1"/>
  <c r="F1060" i="7"/>
  <c r="B1060" i="7" s="1"/>
  <c r="B6" i="7"/>
  <c r="B13" i="7"/>
  <c r="B74" i="7"/>
  <c r="B894" i="7"/>
  <c r="B160" i="7"/>
  <c r="B117" i="7"/>
  <c r="F346" i="7"/>
  <c r="B346" i="7" s="1"/>
  <c r="F391" i="7"/>
  <c r="B391" i="7" s="1"/>
  <c r="B863" i="7"/>
  <c r="B956" i="7"/>
  <c r="B1080" i="7"/>
  <c r="B82" i="7"/>
  <c r="B146" i="7"/>
  <c r="F181" i="7"/>
  <c r="B181" i="7" s="1"/>
  <c r="B193" i="7"/>
  <c r="F222" i="7"/>
  <c r="B222" i="7" s="1"/>
  <c r="F244" i="7"/>
  <c r="B244" i="7" s="1"/>
  <c r="F335" i="7"/>
  <c r="B335" i="7" s="1"/>
  <c r="F380" i="7"/>
  <c r="B380" i="7" s="1"/>
  <c r="F430" i="7"/>
  <c r="B430" i="7" s="1"/>
  <c r="F474" i="7"/>
  <c r="B474" i="7" s="1"/>
  <c r="F754" i="7"/>
  <c r="B754" i="7" s="1"/>
  <c r="B1051" i="7"/>
  <c r="B54" i="7"/>
  <c r="F302" i="7"/>
  <c r="B302" i="7" s="1"/>
  <c r="F441" i="7"/>
  <c r="B441" i="7" s="1"/>
  <c r="B523" i="7"/>
  <c r="B537" i="7"/>
  <c r="B601" i="7"/>
  <c r="F38" i="7"/>
  <c r="B38" i="7" s="1"/>
  <c r="B199" i="7"/>
  <c r="F270" i="7"/>
  <c r="B270" i="7" s="1"/>
  <c r="B285" i="7"/>
  <c r="F324" i="7"/>
  <c r="B324" i="7" s="1"/>
  <c r="F369" i="7"/>
  <c r="B369" i="7" s="1"/>
  <c r="F419" i="7"/>
  <c r="B419" i="7" s="1"/>
  <c r="F463" i="7"/>
  <c r="B463" i="7" s="1"/>
  <c r="F576" i="7"/>
  <c r="B576" i="7" s="1"/>
  <c r="B690" i="7"/>
  <c r="F937" i="7"/>
  <c r="B937" i="7" s="1"/>
  <c r="B1069" i="7"/>
  <c r="B309" i="6"/>
  <c r="B425" i="6"/>
  <c r="B620" i="6"/>
  <c r="B660" i="6"/>
  <c r="B672" i="6"/>
  <c r="B64" i="6"/>
  <c r="B317" i="6"/>
  <c r="B370" i="6"/>
  <c r="B633" i="6"/>
  <c r="B725" i="6"/>
  <c r="B520" i="6"/>
  <c r="B718" i="6"/>
  <c r="B211" i="6"/>
  <c r="F264" i="6"/>
  <c r="B264" i="6" s="1"/>
  <c r="B509" i="6"/>
  <c r="B553" i="6"/>
  <c r="B487" i="6"/>
  <c r="B531" i="6"/>
  <c r="B280" i="6"/>
  <c r="B476" i="6"/>
  <c r="B564" i="6"/>
  <c r="B792" i="6"/>
  <c r="B93" i="6"/>
  <c r="F220" i="6"/>
  <c r="B220" i="6" s="1"/>
  <c r="B325" i="6"/>
  <c r="B395" i="6"/>
  <c r="B739" i="6"/>
  <c r="F52" i="6"/>
  <c r="B52" i="6" s="1"/>
  <c r="B79" i="6"/>
  <c r="B248" i="6"/>
  <c r="B419" i="6"/>
  <c r="B454" i="6"/>
  <c r="B498" i="6"/>
  <c r="B542" i="6"/>
  <c r="B732" i="6"/>
  <c r="B753" i="6"/>
  <c r="B783" i="6"/>
  <c r="B38" i="5"/>
  <c r="B69" i="5"/>
  <c r="B16" i="5"/>
  <c r="B50" i="5"/>
  <c r="B75" i="5"/>
  <c r="F92" i="5"/>
  <c r="B92" i="5" s="1"/>
  <c r="B130" i="5"/>
  <c r="B174" i="5"/>
  <c r="B262" i="5"/>
  <c r="B290" i="5"/>
  <c r="B302" i="5"/>
  <c r="B314" i="5"/>
  <c r="B326" i="5"/>
  <c r="B338" i="5"/>
  <c r="B350" i="5"/>
  <c r="B482" i="5"/>
  <c r="B654" i="5"/>
  <c r="B671" i="5"/>
  <c r="B81" i="5"/>
  <c r="B99" i="5"/>
  <c r="B142" i="5"/>
  <c r="F158" i="5"/>
  <c r="B158" i="5" s="1"/>
  <c r="B269" i="5"/>
  <c r="B404" i="5"/>
  <c r="B448" i="5"/>
  <c r="B521" i="5"/>
  <c r="B533" i="5"/>
  <c r="B545" i="5"/>
  <c r="B556" i="5"/>
  <c r="B598" i="5"/>
  <c r="B641" i="5"/>
  <c r="B648" i="5"/>
  <c r="B106" i="5"/>
  <c r="B195" i="5"/>
  <c r="B203" i="5"/>
  <c r="B211" i="5"/>
  <c r="B284" i="5"/>
  <c r="B296" i="5"/>
  <c r="B308" i="5"/>
  <c r="B320" i="5"/>
  <c r="B332" i="5"/>
  <c r="B344" i="5"/>
  <c r="B360" i="5"/>
  <c r="B620" i="5"/>
  <c r="B66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C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En esta localización no se presentan interferencias con redes MT11,4kV</t>
        </r>
      </text>
    </comment>
    <comment ref="E9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En esta localización no se presentan interferencias con redes MT11,4kV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F4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IPC AÑO 2020 
SE APLICA A LOS PRECIOS DEL AÑO 2020</t>
        </r>
      </text>
    </comment>
    <comment ref="J58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actualizado con IPC a 2021
</t>
        </r>
      </text>
    </comment>
    <comment ref="J82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actualizado con IPC a 2021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Castaño</author>
  </authors>
  <commentList>
    <comment ref="B984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11 gabinetes x 11,64 módulos = 128 módulos (2/apto.)</t>
        </r>
      </text>
    </comment>
  </commentList>
</comments>
</file>

<file path=xl/sharedStrings.xml><?xml version="1.0" encoding="utf-8"?>
<sst xmlns="http://schemas.openxmlformats.org/spreadsheetml/2006/main" count="10701" uniqueCount="1270">
  <si>
    <t>1.</t>
  </si>
  <si>
    <t>REDES DE DISTRIBUCION EXTERIOR</t>
  </si>
  <si>
    <t xml:space="preserve"> UNIDAD</t>
  </si>
  <si>
    <t xml:space="preserve">CANTIDAD </t>
  </si>
  <si>
    <t>VR. UNITARIO</t>
  </si>
  <si>
    <t>VR. TOTAL</t>
  </si>
  <si>
    <t>1.01</t>
  </si>
  <si>
    <t>Bajante en poste desde transformador en tubería metálica 3"</t>
  </si>
  <si>
    <t>Un</t>
  </si>
  <si>
    <t>1.02</t>
  </si>
  <si>
    <t>Cámara secundaria 0.8x0.8x1.0 m.</t>
  </si>
  <si>
    <t xml:space="preserve"> </t>
  </si>
  <si>
    <t>TOTAL CAPITULO 1</t>
  </si>
  <si>
    <t>REDES PRIMARIAS</t>
  </si>
  <si>
    <t>1.1</t>
  </si>
  <si>
    <t>Aisladores de suspensión en estructura existente para arranque de línea trifásica</t>
  </si>
  <si>
    <t>1.2</t>
  </si>
  <si>
    <t>Red primaria aérea en 3No.2 ACSR</t>
  </si>
  <si>
    <t>Ml</t>
  </si>
  <si>
    <t>1.3</t>
  </si>
  <si>
    <t>Poste de concreto 12x510 Kg</t>
  </si>
  <si>
    <t>1.4</t>
  </si>
  <si>
    <t>Estructura terminal trifásica</t>
  </si>
  <si>
    <t>1.5</t>
  </si>
  <si>
    <t>Templete primario</t>
  </si>
  <si>
    <t>1.6</t>
  </si>
  <si>
    <t>Protecciones transformador trifásico</t>
  </si>
  <si>
    <t>1.7</t>
  </si>
  <si>
    <t xml:space="preserve">Terminales premoldeados tipo exterior </t>
  </si>
  <si>
    <t>Jgo</t>
  </si>
  <si>
    <t>1.8</t>
  </si>
  <si>
    <t>Bajante en tubería IMC 4"</t>
  </si>
  <si>
    <t>1.9</t>
  </si>
  <si>
    <t>Tubería PVC 2x4"</t>
  </si>
  <si>
    <t>1.10</t>
  </si>
  <si>
    <t>Red primaria subterránea en cable XLPE No.2 (133%)</t>
  </si>
  <si>
    <t>1.11</t>
  </si>
  <si>
    <t>Instalación transformador tipo pedestal 150 KVA. (No incluye transformador ni obras civiles)</t>
  </si>
  <si>
    <t>1.12</t>
  </si>
  <si>
    <t>Malla de puesta a tierra</t>
  </si>
  <si>
    <t xml:space="preserve">SUBTOTAL </t>
  </si>
  <si>
    <t>2.</t>
  </si>
  <si>
    <t>2.1</t>
  </si>
  <si>
    <t>2.2</t>
  </si>
  <si>
    <t>2.3</t>
  </si>
  <si>
    <t>Breaker enchufable 1x15A</t>
  </si>
  <si>
    <t>Breaker enchufable 1x20A</t>
  </si>
  <si>
    <t>Breaker enchufable 2x20A</t>
  </si>
  <si>
    <t>Tablero trifilar 8 ctos.</t>
  </si>
  <si>
    <t xml:space="preserve"> Un</t>
  </si>
  <si>
    <t>Tablero trifásico 12 ctos.</t>
  </si>
  <si>
    <t>Salida interruptor sencillo</t>
  </si>
  <si>
    <t>Cámara inspección 0.6x0.6x0.8 m.</t>
  </si>
  <si>
    <t>ADMINISTRACION</t>
  </si>
  <si>
    <t>IMPREVISTOS</t>
  </si>
  <si>
    <t>UTILIDADES</t>
  </si>
  <si>
    <t>I.V.A. (Utilidades x 19%)</t>
  </si>
  <si>
    <t>TOTAL</t>
  </si>
  <si>
    <t>NOTAS:</t>
  </si>
  <si>
    <t>1. El presupuesto no incluye suministro de transformador, planta de emergencia, lámparas.</t>
  </si>
  <si>
    <t>2. Las cantidades de obra son aproximadas y se ajustarán de acuerdo a diseños eléctricos finales.</t>
  </si>
  <si>
    <t>EQUIPO</t>
  </si>
  <si>
    <t xml:space="preserve">MATERIAL </t>
  </si>
  <si>
    <t>M.O.</t>
  </si>
  <si>
    <t>OTROS</t>
  </si>
  <si>
    <t>Cable No.1/0 THHN</t>
  </si>
  <si>
    <t xml:space="preserve"> Ml</t>
  </si>
  <si>
    <t>Tubería PVC 3"</t>
  </si>
  <si>
    <t>Cuadrilla instalaciones eléctricas</t>
  </si>
  <si>
    <t xml:space="preserve"> Jornal</t>
  </si>
  <si>
    <t>DIRECTO:</t>
  </si>
  <si>
    <t>/ Ml</t>
  </si>
  <si>
    <t>Tablero trifilar 12 ctos.</t>
  </si>
  <si>
    <t>/ Un</t>
  </si>
  <si>
    <t>Transporte</t>
  </si>
  <si>
    <t>Gl</t>
  </si>
  <si>
    <t>Arandela presión 5/8"</t>
  </si>
  <si>
    <t>Collarín doble 7-8"</t>
  </si>
  <si>
    <t>Cortacircuitos primario 15 KV-100A</t>
  </si>
  <si>
    <t>Cinta bandit 5/8"</t>
  </si>
  <si>
    <t>Soldadura exotérmica</t>
  </si>
  <si>
    <t>Varilla CW 5/8"x2.4m</t>
  </si>
  <si>
    <t>Cinta autofundente</t>
  </si>
  <si>
    <t>/ Jgo</t>
  </si>
  <si>
    <t>Tubería metálica IMC galvanizada 4"</t>
  </si>
  <si>
    <t>Capacete metálico 4"</t>
  </si>
  <si>
    <t>Cinta bandit 3/4"</t>
  </si>
  <si>
    <t>Hebilla bandit 3/4"</t>
  </si>
  <si>
    <t>Curva PVC 4"</t>
  </si>
  <si>
    <t>Gabinete transferencia automática</t>
  </si>
  <si>
    <t>DPS TVS2HWA10X, 208V/120V, 100KA(F) Vc=150 Vp=900</t>
  </si>
  <si>
    <t>Gabinete 24 cuentas</t>
  </si>
  <si>
    <t>Breaker totalizador 3x100A 25 KA</t>
  </si>
  <si>
    <t>Contador electrónico trifilar NI</t>
  </si>
  <si>
    <t>Breaker 2x50A</t>
  </si>
  <si>
    <t>Contador electrónico trifásico 3x5(100)A</t>
  </si>
  <si>
    <t>Breaker 3x125A</t>
  </si>
  <si>
    <t>Bornera de pruebas</t>
  </si>
  <si>
    <t>Cable No.4 THHN</t>
  </si>
  <si>
    <t>Cable No.8 THHN</t>
  </si>
  <si>
    <t>Cable No.6 THHN</t>
  </si>
  <si>
    <t>Cable No.6 HFFRLS</t>
  </si>
  <si>
    <t>Accesorios de fijación</t>
  </si>
  <si>
    <t>1.01 Sección primaria en poste existente</t>
  </si>
  <si>
    <t>Cruceta metálica 2.4 mts.</t>
  </si>
  <si>
    <t>Diagonal en varilla de 68 cms.</t>
  </si>
  <si>
    <t>Silla para cruceta</t>
  </si>
  <si>
    <t>Perno de máquina 5/8"x12"</t>
  </si>
  <si>
    <t>Cortacircuitos 100A - 15 KV</t>
  </si>
  <si>
    <t>Pararrayos 10 KV - 10 KA</t>
  </si>
  <si>
    <t>Fusible de soga 5A - 15 KV</t>
  </si>
  <si>
    <t>Conector con estribo de cobre</t>
  </si>
  <si>
    <t>Conector amovible de cobre</t>
  </si>
  <si>
    <t>Cable de cobre desnudo No.2</t>
  </si>
  <si>
    <t>Arandela redonda 5/8"</t>
  </si>
  <si>
    <t>Arandela de presión 5/8"</t>
  </si>
  <si>
    <t>Herramienta menor</t>
  </si>
  <si>
    <t xml:space="preserve"> Gl</t>
  </si>
  <si>
    <t>1.02 Bajante en tubería metálica galvanizada 4"</t>
  </si>
  <si>
    <t>Tubería metálica galvanizada 4"</t>
  </si>
  <si>
    <t>1.03 Terminales premoldeados tipo exterior No.2</t>
  </si>
  <si>
    <t>Terminales premoldeados tipo exterior No.2</t>
  </si>
  <si>
    <t>1.04 Acometida primaria en 3No. 2 XLPE (133%)</t>
  </si>
  <si>
    <t>Cable No. 2 XLPE (133%)</t>
  </si>
  <si>
    <t>1.05 Canalización primaria con ductos PVC-TDP 4x4"</t>
  </si>
  <si>
    <t>Tubería PVC-TDP 4"</t>
  </si>
  <si>
    <t>Pegante PVC</t>
  </si>
  <si>
    <t>1.06 Cámara primaria de 1.0x1.0x1.5 m.</t>
  </si>
  <si>
    <t>Cámara primaria de 1.0x1.0x1.5 m.</t>
  </si>
  <si>
    <t>1.07 Terminales premoldeados tipo interior No.2</t>
  </si>
  <si>
    <t>Terminales premoldeados tipo interior No.2</t>
  </si>
  <si>
    <t xml:space="preserve"> Jgo</t>
  </si>
  <si>
    <t>Cinta y accesorios</t>
  </si>
  <si>
    <t xml:space="preserve"> Global</t>
  </si>
  <si>
    <t>1.08 Seccionador tripolar bajo carga 15 KV</t>
  </si>
  <si>
    <t>Seccionador tripolar 15 KV bajo carga</t>
  </si>
  <si>
    <t>1.09 Celda transformador 75 KVA</t>
  </si>
  <si>
    <t>Celda transformador 75 KVA</t>
  </si>
  <si>
    <t xml:space="preserve">1.10 Transformador trifásico 75 KVA 13.2 KV / 208-127V </t>
  </si>
  <si>
    <t>Transformador trifásico 75 KVA 13.2 KV/208-127V</t>
  </si>
  <si>
    <t>1.11 Grupo electrógeno 87.5 KVA / 70 KW 220-127V</t>
  </si>
  <si>
    <t>Grupo electrógeno 87.5KVA/70KW</t>
  </si>
  <si>
    <t>1.12 Tablero general de baja tensión TBT</t>
  </si>
  <si>
    <t>Gabinete autosoportado</t>
  </si>
  <si>
    <t>Breaker totalizador 3x225A 50KA</t>
  </si>
  <si>
    <t>Breaker totalizador 3x100 A 25KA</t>
  </si>
  <si>
    <t>Breaker totalizador 3x20 A 25KA</t>
  </si>
  <si>
    <t>Transferencia automática 3x225A</t>
  </si>
  <si>
    <t>1.13 Acometida secundaria transformador a TBT en 3x(2No.2)+2No.2, tubería PVC 3"</t>
  </si>
  <si>
    <t>Cable No.2 THHN</t>
  </si>
  <si>
    <t>1.14 Acometida grupo electrógeno a TBT en 3x(2No.2)+2No.2, tubería PVC 3"</t>
  </si>
  <si>
    <t xml:space="preserve">1.15 Malla de puesta a tierra </t>
  </si>
  <si>
    <t>Varilla de cobre sólido 5/8"x2.4</t>
  </si>
  <si>
    <t>Cable de cobre desnudo No. 2/0</t>
  </si>
  <si>
    <t xml:space="preserve"> Gm</t>
  </si>
  <si>
    <t>Cámara inspección 30x30 cms.</t>
  </si>
  <si>
    <t>2.01 Tablero general de contadores TGC</t>
  </si>
  <si>
    <t>Tablero general autosoportado</t>
  </si>
  <si>
    <t>Breaker totalizador 3x225A 50 KA</t>
  </si>
  <si>
    <t>Contador electrónico monofásico 10(80)A</t>
  </si>
  <si>
    <t>Transformador de corriente 3x150/5A</t>
  </si>
  <si>
    <t>Transformador de corriente 3x100/5A</t>
  </si>
  <si>
    <t>Pin de corte 1x50A</t>
  </si>
  <si>
    <t>Breaker 3x100A</t>
  </si>
  <si>
    <t>2.02 Tablero trifásico 42 ctos. (TSC) con espacio para totalizador</t>
  </si>
  <si>
    <t>Tablero trifásico 42 ctos. con espacio para totalizador</t>
  </si>
  <si>
    <t>2.03 Tablero trifásico 24 ctos. (TS2) con espacio para totalizador</t>
  </si>
  <si>
    <t>Tablero trifásico 24 ctos. con espacio para totalizador</t>
  </si>
  <si>
    <t>2.04 Tablero trifásico 18 ctos. (TS3) con espacio para totalizador</t>
  </si>
  <si>
    <t>Tablero trifásico 18 ctos. con espacio para totalizador</t>
  </si>
  <si>
    <t>2.05 Gabinete medidor bomba de incendios</t>
  </si>
  <si>
    <t>Caja contador</t>
  </si>
  <si>
    <t>2.06 Tablero bombas de incendio TBI</t>
  </si>
  <si>
    <t>Gabinete de sobreponer</t>
  </si>
  <si>
    <t>Transferencia automática contactores 3x95A-AC3</t>
  </si>
  <si>
    <t xml:space="preserve">Breaker totalizador 3x240-600A 100KA </t>
  </si>
  <si>
    <t>2.07 Acometida secundaria general, red normal, TBT a TGC en 3x(2No.2)+2No.2+1No.4, tubería PVC 3x3"</t>
  </si>
  <si>
    <t>2.08 Acometida secundaria general, red emergencia, TBT a TGC en 3x(2No.2)+2No.2+1No.4, tubería PVC 2x3"</t>
  </si>
  <si>
    <t>2.09 Cámara secundaria de 0.8x0.8x1.0 m.</t>
  </si>
  <si>
    <t>2.10 Acometida TGC a TSC en 4No.4+1No.6, tubería PVC 1 1/4"</t>
  </si>
  <si>
    <t>Tuberia PVC 1 1/4"</t>
  </si>
  <si>
    <t>2.11 Acometida TGC a TBI en 4No.1/0+1No.2, tubería PVC 3"</t>
  </si>
  <si>
    <t>Cable No. 1/0 THHN</t>
  </si>
  <si>
    <t>Cable No. 2 THHN</t>
  </si>
  <si>
    <t>2.12 Acometidas a TBI en 4No.4+1No.8, tubería PVC 1"</t>
  </si>
  <si>
    <t>Cable No. 4 THHN</t>
  </si>
  <si>
    <t>Tubería PVC 1"</t>
  </si>
  <si>
    <t>2.13 Acometidas TS1 a TS2 y TS3 en 4No.6+1No.8, tubería PVC 1"</t>
  </si>
  <si>
    <t>Tuberia PVC 1"</t>
  </si>
  <si>
    <t>2.14 Acometida TS1 a TC en 2No.10+1No.10, tubería PVC 1 1/4"</t>
  </si>
  <si>
    <t>Cable No.10 THHN</t>
  </si>
  <si>
    <t>2.15 Acometida TSC a tablero control ascensor #1 en 4No.8+1No.10, tubería PVC 1"</t>
  </si>
  <si>
    <t>2.15 Acometida TSC a tablero control ascensor #2 en 4No.10+1No.12, tubería PVC 3/4"</t>
  </si>
  <si>
    <t>Cable No.12 THHN</t>
  </si>
  <si>
    <t>Tuberia PVC 3/4"</t>
  </si>
  <si>
    <t>2.16 Acometidas TS2 a motores puertas parqueaderos en 2No.12+1No.12, tubería PVC 1/2"</t>
  </si>
  <si>
    <t>Alambre No.12 THHN</t>
  </si>
  <si>
    <t>Tuberia PVC 1/2"</t>
  </si>
  <si>
    <t>2.17 Acometidas TS3 a bombas hidráulicas en 3No.10+1No.12, tubería PVC 1/2"</t>
  </si>
  <si>
    <t>Alambre No.10 THHN</t>
  </si>
  <si>
    <t>2.18 Acometida TBI a bomba incendios BI1 en 3No.14+1No.14, tubería PVC 1/2"</t>
  </si>
  <si>
    <t>Alambre No.14 THHN</t>
  </si>
  <si>
    <t>2.19 Acometida TBI a bomba incendios BI2 en 3No.4+1No.6, tubería PVC 1"</t>
  </si>
  <si>
    <t>2.20 Acometida a lámparas ornamentales en 2No.14+1No.14, tubería PVC 1/2"</t>
  </si>
  <si>
    <t>2.21 Breaker totalizador 3x125A 25KA (TS1)</t>
  </si>
  <si>
    <t>Breaker totalizador 3x125A  25KA</t>
  </si>
  <si>
    <t>2.22 Breaker totalizador 3x70A 25KA (TS2-TS3)</t>
  </si>
  <si>
    <t>Breaker totalizador 3x100A  25KA</t>
  </si>
  <si>
    <t>2.23 (3.04) Breaker enchufable 1x15A</t>
  </si>
  <si>
    <t>2.24 (3.05) Breaker enchufable 1x20A</t>
  </si>
  <si>
    <t>2.25 Breaker enchufable 1x30A</t>
  </si>
  <si>
    <t>Breaker enchufable 1x30A</t>
  </si>
  <si>
    <t>2.26 Breaker enchufable 2x15A</t>
  </si>
  <si>
    <t>Breaker enchufable 2x15A</t>
  </si>
  <si>
    <t>2.27 Breaker enchufable 2x20A</t>
  </si>
  <si>
    <t>2.28 Breaker enchufable 3x30A</t>
  </si>
  <si>
    <t>Breaker enchufable 3x30A</t>
  </si>
  <si>
    <t>2.29 Breaker enchufable 3x50A</t>
  </si>
  <si>
    <t>Breaker enchufable 3x50A</t>
  </si>
  <si>
    <t>2.30 Breaker tipo MCB 1x10-25A</t>
  </si>
  <si>
    <t>Minibreaker 1x10-25A</t>
  </si>
  <si>
    <t>2.31 Breaker diferencial tipo MCB 25A</t>
  </si>
  <si>
    <t>Minibreaker diferencial 25A</t>
  </si>
  <si>
    <t>2.32 (3.06) Salida alumbrado en tubería PVC</t>
  </si>
  <si>
    <t>Caja galvanizada octagonal</t>
  </si>
  <si>
    <t>Adaptador PVC 1/2"</t>
  </si>
  <si>
    <t>Conector tipo resorte</t>
  </si>
  <si>
    <t>2.33 Salida alumbrado en tubería EMT</t>
  </si>
  <si>
    <t>Tuberia EMT 1/2"</t>
  </si>
  <si>
    <t>Unión EMT 1/2"</t>
  </si>
  <si>
    <t>Terminal EMT 1/2"</t>
  </si>
  <si>
    <t>2.34 (3.07) Salida interruptor sencillo</t>
  </si>
  <si>
    <t>Caja 2"x4"</t>
  </si>
  <si>
    <t xml:space="preserve">Interruptor sencillo </t>
  </si>
  <si>
    <t>2.35 (3.08) Salida interruptor doble</t>
  </si>
  <si>
    <t>Interruptor doble</t>
  </si>
  <si>
    <t>2.36 (3.09) Salida interruptor triple</t>
  </si>
  <si>
    <t>Interruptor triple</t>
  </si>
  <si>
    <t>2.37 (3.11) Salida interruptor conmutable doble</t>
  </si>
  <si>
    <t xml:space="preserve">Interruptor conmutable doble </t>
  </si>
  <si>
    <t>2.38 (3.13) Salida pulsador</t>
  </si>
  <si>
    <t xml:space="preserve">Interruptor pulsador </t>
  </si>
  <si>
    <t>2.39 Salida sensor de movimiento</t>
  </si>
  <si>
    <t>Sensor de movimiento</t>
  </si>
  <si>
    <t>2.40 Salida temporizador</t>
  </si>
  <si>
    <t>Temporizador</t>
  </si>
  <si>
    <t>2.41 (3.15) Salida tomacorriente doble</t>
  </si>
  <si>
    <t>Alambre No. 12 THHN</t>
  </si>
  <si>
    <t>Tomacorriente doble p.t.</t>
  </si>
  <si>
    <t>2.42 (3.16) Salida tomacorriente doble tipo GFCI</t>
  </si>
  <si>
    <t>Tomacorriente doble TIPO GFCI</t>
  </si>
  <si>
    <t>2.43 Salida tomacorriente doble tipo GFCI en tubería EMT</t>
  </si>
  <si>
    <t>2.44 (3.18) Salida toma telefónico (sin cablear)</t>
  </si>
  <si>
    <t>Caja 4"x4"</t>
  </si>
  <si>
    <t>Adaptador PVC 3/4"</t>
  </si>
  <si>
    <t>Toma telefónico</t>
  </si>
  <si>
    <t>2.45 (3.19) Salida toma coaxial (sin cablear)</t>
  </si>
  <si>
    <t>Toma coaxial</t>
  </si>
  <si>
    <t>2.46 Caja de paso 30x30x15 cms.</t>
  </si>
  <si>
    <t>Caja de paso 30x30x15</t>
  </si>
  <si>
    <t>4.02 Tubería PVC 2"</t>
  </si>
  <si>
    <t>Tubería PVC 2"</t>
  </si>
  <si>
    <t>4.03 Bandeja tipo Cablofil 54x500 mm.</t>
  </si>
  <si>
    <t>Bandeja cablofil 54x500 mm.</t>
  </si>
  <si>
    <t>Separador</t>
  </si>
  <si>
    <t>Accesorios fijación</t>
  </si>
  <si>
    <t>3.01 Acometidas TGC a subtablero apartamento en 2No.6+1No.10, tubería PVC 3/4"</t>
  </si>
  <si>
    <t>3.02 Tablero monofásico 12 ctos.</t>
  </si>
  <si>
    <t>Tablero monofásico 12 ctos.</t>
  </si>
  <si>
    <t>3.03 Tablero monofásico 8 ctos.</t>
  </si>
  <si>
    <t>Tablero monofásico 8 ctos.</t>
  </si>
  <si>
    <t>3.10 Salida interruptor conmutable sencillo</t>
  </si>
  <si>
    <t>Interruptor conmutable sencillo</t>
  </si>
  <si>
    <t>3.12 Salida interruptor conmutable triple</t>
  </si>
  <si>
    <t>Interruptor conmutable triple</t>
  </si>
  <si>
    <t>3.14 Salida campanilla</t>
  </si>
  <si>
    <t>Alambre No.2x22</t>
  </si>
  <si>
    <t>Campanilla</t>
  </si>
  <si>
    <t>3.17Salida extractor baños (sin cablear)</t>
  </si>
  <si>
    <t>4.01 Cámara inspección de 0.6x0.6x0.8 m.</t>
  </si>
  <si>
    <t>4.02 Canalización exterior en tubería PVC 2x2"</t>
  </si>
  <si>
    <t>4.03 Canalización de enlace inferior en tubería PVC 7x1 1/2"</t>
  </si>
  <si>
    <t>Tubería PVC 1 1/2"</t>
  </si>
  <si>
    <t>4.04 Canalización de enlace superior en tubería PVC 4x1 1/2"</t>
  </si>
  <si>
    <t>4.05 Canalización interior en tubería PVC 3x2"</t>
  </si>
  <si>
    <t>4.06 Canalización de dispersión en tubería PVC 3x1"</t>
  </si>
  <si>
    <t>4.07 Canalización de reserva en tubería PVC 2x1 1/2"</t>
  </si>
  <si>
    <t>4.08 Gabinete de comunicaciones nivel superior e inferior</t>
  </si>
  <si>
    <t>Strip comunicaciones general</t>
  </si>
  <si>
    <t xml:space="preserve">4.09 Caja de paso comunicaciones tipo Strip 0.4x0.4x0.15 m </t>
  </si>
  <si>
    <t>Caja de paso 0.4x0.4x0.15</t>
  </si>
  <si>
    <t>4.10 Caja terminal de red 0.3x0.5x0.06 m. (PA)</t>
  </si>
  <si>
    <t>Caja terminal de red 0.3x0.4x0.06</t>
  </si>
  <si>
    <t>5.01 Certificación RETIE</t>
  </si>
  <si>
    <t>Certificación RETIE</t>
  </si>
  <si>
    <t>1.01 Bajante en tubería metálica galvanizada 3"</t>
  </si>
  <si>
    <t>Tubería metálica galvanizada 3"</t>
  </si>
  <si>
    <t>Capacete metálico 3"</t>
  </si>
  <si>
    <t>1.02 Cámara secundaria de 0.8x0.8x1.0 m.</t>
  </si>
  <si>
    <t>Cámara primaria de 0.8x0.8x1.0 m.</t>
  </si>
  <si>
    <t>2.01 Acometida secundaria a TGC en 3No.2+1No.2, tubería PVC 2x2"</t>
  </si>
  <si>
    <t>2.02 Acometida planta emergencia a TGC en 3No.1/0+1No.1/0, tubería PVC 1 1/2"</t>
  </si>
  <si>
    <t>2.03 Tablero transferencia automática 3x150A</t>
  </si>
  <si>
    <t>Transferencia automática 3x200A</t>
  </si>
  <si>
    <t>2.04 Tablero general de contadores TGC</t>
  </si>
  <si>
    <t>Breaker totalizador 3x150A 25 KA</t>
  </si>
  <si>
    <t>Breaker 3x80A</t>
  </si>
  <si>
    <t xml:space="preserve">2.05 Malla de puesta a tierra </t>
  </si>
  <si>
    <t xml:space="preserve">2.06 Grupo electrógeno 75 KVA </t>
  </si>
  <si>
    <t>Grupo electrógeno 75 KVA</t>
  </si>
  <si>
    <t xml:space="preserve">2.07 Tablero trifásico 42 ctos. (TSC) </t>
  </si>
  <si>
    <t xml:space="preserve">Tablero trifásico 42 ctos. </t>
  </si>
  <si>
    <t>2.08 Tablero bombas de incendio TBI</t>
  </si>
  <si>
    <t>2.09 Acometida TGC a TSC en 4No.6+1No.8 HFFRLS, tubería PVC 1" SCH40</t>
  </si>
  <si>
    <t>Cable No.8 HFFRLS</t>
  </si>
  <si>
    <t>Tuberia PVC 1" SCH40</t>
  </si>
  <si>
    <t>2.10 Acometida ppal a TBI en 3No.2+1No.2, tubería PVC 1 1/2"</t>
  </si>
  <si>
    <t>2.11 Acometidas a TBI en 3No.4+1No.4, tubería PVC 1 1/2"</t>
  </si>
  <si>
    <t>Tuberia PVC 1 1/2"</t>
  </si>
  <si>
    <t>2.12 Acometida TSC a tableros ascensores en 4No.8+1No.10 HFFRLS, tubería PVC 1" SCH40</t>
  </si>
  <si>
    <t>Cable No.10 HFFRLS</t>
  </si>
  <si>
    <t>2.02 Tablero trifásico 30 ctos. (TS1) con espacio para totalizador</t>
  </si>
  <si>
    <t>2.15 Acometida TS1 a tablero control ascensor en 4No.8+1No.10, tubería PVC 3/4"</t>
  </si>
  <si>
    <t>Plafón</t>
  </si>
  <si>
    <t>2.45 Bala con bombillo ahorrador 20W</t>
  </si>
  <si>
    <t>Bala ahorradora</t>
  </si>
  <si>
    <t>Bombillo ahorrador 20W</t>
  </si>
  <si>
    <t>2.45 Aplique con bombillo ahorrador 20W</t>
  </si>
  <si>
    <t>Aplique</t>
  </si>
  <si>
    <t>2.45 Bala (panel) Led 23W</t>
  </si>
  <si>
    <t>Bala led 23W</t>
  </si>
  <si>
    <t>2.45 Bala Led contrahuella 7W</t>
  </si>
  <si>
    <t>Bala led contrahuella 7W</t>
  </si>
  <si>
    <t>2.45 Lámpara Led hermética 2x18W</t>
  </si>
  <si>
    <t>Lámpara led hermética 2x18W</t>
  </si>
  <si>
    <t>3.03 Tablero trifilar 8 ctos.</t>
  </si>
  <si>
    <t>3.01 Acometidas TGC a subtablero L1 en 3No.8+1No.10, tubería PVC 1"</t>
  </si>
  <si>
    <t xml:space="preserve">1.06 Poste concreto 12x750 Kg </t>
  </si>
  <si>
    <t>Poste concreto 12x750 Kg</t>
  </si>
  <si>
    <t>grua</t>
  </si>
  <si>
    <t>1.1 Poste concreto 10x750 Kg</t>
  </si>
  <si>
    <t>Poste concreto 10x750 Kg</t>
  </si>
  <si>
    <t>1.2 Estructura y protecciones para transformador (1)</t>
  </si>
  <si>
    <t>Collarín sencillo 6-7</t>
  </si>
  <si>
    <t>DPS oxido de zinc</t>
  </si>
  <si>
    <t>Cruceta 3x1/4x3</t>
  </si>
  <si>
    <t>U 5/8x18</t>
  </si>
  <si>
    <t>Tornillo espaciador 5/8x10</t>
  </si>
  <si>
    <t>Tornillo máquina 5/8x2</t>
  </si>
  <si>
    <t>Tornillo máquina 5/8x8</t>
  </si>
  <si>
    <t>Arandela redonda 5/8</t>
  </si>
  <si>
    <t>Conector DBH-8</t>
  </si>
  <si>
    <t>Cable desnudo No.4</t>
  </si>
  <si>
    <t>Cable ACSR No. 2</t>
  </si>
  <si>
    <t>Conector puesta a tierra 5/8</t>
  </si>
  <si>
    <t>Varilla de tierra 5/8x2.4</t>
  </si>
  <si>
    <t xml:space="preserve">Punto soldadura exotérmica </t>
  </si>
  <si>
    <t>Angulo galvanizado 3x1/4x1</t>
  </si>
  <si>
    <t>Diagonal 2x1/4x1.5</t>
  </si>
  <si>
    <t>Cámara inspección 30x30</t>
  </si>
  <si>
    <t xml:space="preserve">1.3 Transformador trifásico 150 KVA </t>
  </si>
  <si>
    <t xml:space="preserve">Transformador trifásico 150 KVA </t>
  </si>
  <si>
    <t>1.4 Bajante en tubería metálica galvanizada 4"</t>
  </si>
  <si>
    <t>1.5 Acometida transformador a TGBT en 3x(2No.3/0)+2No.3/0</t>
  </si>
  <si>
    <t>Cable No. 3/0</t>
  </si>
  <si>
    <t>1.6, 1.7, 1.8 Acometida TGBT a casas en 3No.2+1No.2</t>
  </si>
  <si>
    <t>1.9 Acometida TGBT a TAC en 4No.2+1No.4, tubería PVC 2"</t>
  </si>
  <si>
    <t>1.10 Acometida TAC a T1 en 3No.8+1No.10, tubería PVC 1"</t>
  </si>
  <si>
    <t>1.11, 1.12, 2.4, 2.5 Acometida TAC a T2 en 4No.8+1No.10, tubería PVC 1"</t>
  </si>
  <si>
    <t>1.13 Acometida TAC a T9 en 4No.4+1No.6, tubería PVC 2"</t>
  </si>
  <si>
    <t>1.14 Tubería PVC 3x3"</t>
  </si>
  <si>
    <t>1.15, 1.16 Tubería PVC 2x3"</t>
  </si>
  <si>
    <t>1.17 Cámara secundaria de 0.8x0.8x1.0 m.</t>
  </si>
  <si>
    <t>1.18 Barraje 200A 8p</t>
  </si>
  <si>
    <t>Barraje 200A 8p</t>
  </si>
  <si>
    <t>Soportes</t>
  </si>
  <si>
    <t>Kit de tierra</t>
  </si>
  <si>
    <t>1.19 Tablero general de baja tensión TGBT</t>
  </si>
  <si>
    <t>Gabinete autosoportado TGBT</t>
  </si>
  <si>
    <t>Breaker totalizador 3x280-400A 70KA</t>
  </si>
  <si>
    <t>Transferencia automática 3x350A (con gabinete TBT)</t>
  </si>
  <si>
    <t>Breaker totalizador 3x100A 25KA</t>
  </si>
  <si>
    <t>Contador trifásico</t>
  </si>
  <si>
    <t>DPS 220-127V, If=100KA, SCCR=200KA, Vc=150, Vp=900 (Schneider)</t>
  </si>
  <si>
    <t>1.20 Tablero TAC áreas comunes urbanismo</t>
  </si>
  <si>
    <t>Gabinete autosoportado TAC</t>
  </si>
  <si>
    <t>Breaker totalizador 3x20A 25 KA</t>
  </si>
  <si>
    <t>Breaker totalizador 3x30A 25 KA</t>
  </si>
  <si>
    <t>Breaker totalizador 3x50A 25 KA</t>
  </si>
  <si>
    <t>Breaker totalizador 2x30A 25 KA</t>
  </si>
  <si>
    <t>1.21 Planta emergencia 125 KVA</t>
  </si>
  <si>
    <t>Planta emergencia 125 KVA</t>
  </si>
  <si>
    <t>1.22 Acometida planta a TGBT en 3x(2No.2/0)+2No.2/0+2No.1/0, tubería PVC 3"</t>
  </si>
  <si>
    <t>Cable No. 2/0</t>
  </si>
  <si>
    <t>Cable No.1/0</t>
  </si>
  <si>
    <t xml:space="preserve">1.23 Malla de puesta a tierra </t>
  </si>
  <si>
    <t>2.1 Tablero de contadores TGT1 ó TGT2</t>
  </si>
  <si>
    <t>Gabinete 20 cuentas</t>
  </si>
  <si>
    <t>Contador electrónico trifásico</t>
  </si>
  <si>
    <t>Pin de corte 2x40A</t>
  </si>
  <si>
    <t>Pin de corte 3x50A</t>
  </si>
  <si>
    <t>2.2 Tablero trifásico TC 18 ctos.</t>
  </si>
  <si>
    <t>Tablero trifásico 18 ctos.</t>
  </si>
  <si>
    <t>2.3 Tablero trifásico TASC 12 ctos.</t>
  </si>
  <si>
    <t>2.6 Breaker enchufable 1x15A</t>
  </si>
  <si>
    <t>2.7 Breaker enchufable 1x20A</t>
  </si>
  <si>
    <t>2.8 Breaker enchufable 3x30A</t>
  </si>
  <si>
    <t>2.9 Salida alumbrado en tubería PVC (cable HFFRLS)</t>
  </si>
  <si>
    <t>Cable No. 14 HFFRLS</t>
  </si>
  <si>
    <t>2.10 Salida interruptor sencillo (cable HFFRLS)</t>
  </si>
  <si>
    <t>2.11 Salida sensor de movimiento (cable HFFRLS)</t>
  </si>
  <si>
    <t>2.12 Salida tomacorriente doble</t>
  </si>
  <si>
    <t>Cable No.12 HFFRLS</t>
  </si>
  <si>
    <t xml:space="preserve">2.13, 2.14 Caja de paso 40x40x20 cm </t>
  </si>
  <si>
    <t>Caja de paso 40x40x20</t>
  </si>
  <si>
    <t>2.15 Tubería EMT 2"</t>
  </si>
  <si>
    <t>Tubería EMT 2"</t>
  </si>
  <si>
    <t>Unión EMT 2"</t>
  </si>
  <si>
    <t>Terminal EMT 2"</t>
  </si>
  <si>
    <t>2.16 Tubería PVC 2"</t>
  </si>
  <si>
    <t>3.1 Acometida a subtablero apto. en 3No.8+1No.10 HFFRLS, tubería PVC 1"</t>
  </si>
  <si>
    <t>3.2 Tablero trifilar 8 ctos.</t>
  </si>
  <si>
    <t>3.5 Salida alumbrado en tubería PVC</t>
  </si>
  <si>
    <t>Tuberia PVC 1/2" SCH40</t>
  </si>
  <si>
    <t>3.5 Salida alumbrado en tubería PVC (con cable HFFRLS)</t>
  </si>
  <si>
    <t>Cable No.14 HFFRLS</t>
  </si>
  <si>
    <t>3.6 Salida interruptor sencillo</t>
  </si>
  <si>
    <t>3.6 Salida interruptor sencillo (HFFRLS)</t>
  </si>
  <si>
    <t>3.7 Salida interruptor doble</t>
  </si>
  <si>
    <t>3.7 Salida interruptor doble (HFFRLS)</t>
  </si>
  <si>
    <t>3.7 Salida interruptor conmutable sencillo</t>
  </si>
  <si>
    <t>Interruptor conmutable</t>
  </si>
  <si>
    <t>3.8 Salida interruptor conmutable doble</t>
  </si>
  <si>
    <t>3.8 Salida interruptor conmutable doble (HFFRLS)</t>
  </si>
  <si>
    <t>3.8 Salida interruptor conmutable triple</t>
  </si>
  <si>
    <t>3.9 Salida pulsador</t>
  </si>
  <si>
    <t>3.10 Salida campanilla</t>
  </si>
  <si>
    <t>3.11 Salida tomacorriente doble</t>
  </si>
  <si>
    <t>3.11 Salida tomacorriente doble (HFFRLS)</t>
  </si>
  <si>
    <t>Cable No. 12 HFFRLS</t>
  </si>
  <si>
    <t>3.12 Salida tomacorriente doble tipo GFCI</t>
  </si>
  <si>
    <t>3.12 Salida tomacorriente doble tipo GFCI (HFFRLS)</t>
  </si>
  <si>
    <t>3.13 Salida toma telefónico (sin cablear)</t>
  </si>
  <si>
    <t>3.14 Salida toma TV (sin cablear)</t>
  </si>
  <si>
    <t>3.15 Caja de paso entrada comunicaciones 15x15x10</t>
  </si>
  <si>
    <t>Caja de paso 15x15x10</t>
  </si>
  <si>
    <t>3.16 Tubería PVC acometida comunicaciones 1"</t>
  </si>
  <si>
    <t>5.1 Caja contador trifilar neutro incorporado</t>
  </si>
  <si>
    <t>Contador electrónico trifilar neutro incorporado</t>
  </si>
  <si>
    <t xml:space="preserve">Caja antifraude polimerico </t>
  </si>
  <si>
    <t>5.2 Acometida a contador en cable antifraude 2x8+8, tubería PVC 1"</t>
  </si>
  <si>
    <t>Cable antifraude 2x8+8</t>
  </si>
  <si>
    <t>5.3 Acometida contador a subtablero en 3No.8+1No.10 THHN, tubería PVC 1"</t>
  </si>
  <si>
    <t>5.4 Tablero trifilar 12 ctos.</t>
  </si>
  <si>
    <t>6.1.1 Bajante en tubería metálica galvanizada 1 1/2"</t>
  </si>
  <si>
    <t>Tubería metálica IMC galvanizada 1 1/2"</t>
  </si>
  <si>
    <t>Capacete metálico 1 1/2"</t>
  </si>
  <si>
    <t>Curva PVC 1 1/2"</t>
  </si>
  <si>
    <t>6.2.6 Breaker enchufable 2x20A</t>
  </si>
  <si>
    <t>6.2.9 Salida toma 220V (secador de manos)</t>
  </si>
  <si>
    <t xml:space="preserve">Tomacorriente pata trabada </t>
  </si>
  <si>
    <t>5.7 Salida interruptor doble</t>
  </si>
  <si>
    <t>Breaker enchufable 3x20A</t>
  </si>
  <si>
    <t>Minibreaker 2x40A</t>
  </si>
  <si>
    <t>Salida sensor de movimiento</t>
  </si>
  <si>
    <t>Electrobarra 200A</t>
  </si>
  <si>
    <t>Alimentador 200A x 2,89 mts, lámina pregalvanizada</t>
  </si>
  <si>
    <t>Alimentador derivador 200A x 2,87 mts, lámina pregalvanizada</t>
  </si>
  <si>
    <t>Flanche 200A lámina pregalvanizada</t>
  </si>
  <si>
    <t>Codo vertical</t>
  </si>
  <si>
    <t>Soporte vertical rígido</t>
  </si>
  <si>
    <t>Soporte vertical flexible</t>
  </si>
  <si>
    <t>Caja de derivación 100A</t>
  </si>
  <si>
    <t>Breaker 3x100A 25 KA</t>
  </si>
  <si>
    <t>Gabinete para equipos SPI</t>
  </si>
  <si>
    <t>Gabinete para equipo SPI</t>
  </si>
  <si>
    <t>APANTALLAMIENTO ELECTRICO</t>
  </si>
  <si>
    <t>GENTE</t>
  </si>
  <si>
    <t>Varilla CW 5/8"x2.4 mts.</t>
  </si>
  <si>
    <t>Punta Franklin 80 cms.</t>
  </si>
  <si>
    <t>Cable Acero No. 1/0</t>
  </si>
  <si>
    <t>Cable Cu. No. 1/0</t>
  </si>
  <si>
    <t>Tubería EMT 3/4" con accesorios</t>
  </si>
  <si>
    <t>Gm</t>
  </si>
  <si>
    <t>Caja de inspección</t>
  </si>
  <si>
    <t>Jornal</t>
  </si>
  <si>
    <t>/ UN</t>
  </si>
  <si>
    <t>Tablero bomba de incendios TBI</t>
  </si>
  <si>
    <t>Transferencia automática contactores 3x100A-AC3</t>
  </si>
  <si>
    <t>Acometida a TBI en 4No.2+1No.4, tubería PVC 2"</t>
  </si>
  <si>
    <t>Tuberia PVC 2"</t>
  </si>
  <si>
    <t>Tablero bombas TBB</t>
  </si>
  <si>
    <t>Breaker 3x50A</t>
  </si>
  <si>
    <t>Acometida a tablero bombas en 4No.4+1No.6, tubería PVC 2"</t>
  </si>
  <si>
    <t>Acometida a equipos de presión constante en 3No.10+1No.12, tubería PVC 1/2"</t>
  </si>
  <si>
    <t>Barraje 200A 6p</t>
  </si>
  <si>
    <t>Barraje 500A 4p</t>
  </si>
  <si>
    <t xml:space="preserve">/ Un </t>
  </si>
  <si>
    <t>Poste de concreto 10x510 Kg</t>
  </si>
  <si>
    <t>Grua</t>
  </si>
  <si>
    <t>Reflector 250W Metal Halide</t>
  </si>
  <si>
    <t>Cruceta</t>
  </si>
  <si>
    <t>Red secundaria alumbrado canchas</t>
  </si>
  <si>
    <t>Excavaciones</t>
  </si>
  <si>
    <t>Llenos</t>
  </si>
  <si>
    <t>Acometida a bomba piscina</t>
  </si>
  <si>
    <t>Salida reflector piscina</t>
  </si>
  <si>
    <t>Red AP en cable 3No.12</t>
  </si>
  <si>
    <t>Luminaria 2x(1x20W) Led Orion</t>
  </si>
  <si>
    <t>Luminaria 1x20W Led Orion</t>
  </si>
  <si>
    <t>Poste metálico 1 1/2"x6m</t>
  </si>
  <si>
    <t>Brazo metálico</t>
  </si>
  <si>
    <t>Base en concreto</t>
  </si>
  <si>
    <t>Cámara inspección 0.6x0.6x0.8 (comunicaciones)</t>
  </si>
  <si>
    <t>Cámara inspección 0.7x0.8</t>
  </si>
  <si>
    <t>Tubería PVC 6x2" (comunicaciones)</t>
  </si>
  <si>
    <t>Strip general comunicaciones</t>
  </si>
  <si>
    <t>Canalización AP en tubería PVC 1"</t>
  </si>
  <si>
    <t>Concentrador secundario de medida y distribución (módulo maestro)</t>
  </si>
  <si>
    <t>Concentrador secundario de medida y distribución, comunicación RS485</t>
  </si>
  <si>
    <t>Módulo shunt 1F2H de 5A calibrado</t>
  </si>
  <si>
    <t>Módem celular</t>
  </si>
  <si>
    <t>Módem RF</t>
  </si>
  <si>
    <t>Display LCD para medida</t>
  </si>
  <si>
    <t>Transformador de corriente 400/5A</t>
  </si>
  <si>
    <t>Concentrador secundario de medida y distribución (módulo de piso)</t>
  </si>
  <si>
    <t>Módulo shunt 1F2H con actuador de 100A calibrado</t>
  </si>
  <si>
    <t>Concentrador secundario de medida y distribución (módulo casas)</t>
  </si>
  <si>
    <t xml:space="preserve">Configuración concentrador secundario </t>
  </si>
  <si>
    <t>Configuración concentrador</t>
  </si>
  <si>
    <t>Pruebas y puesta en operación MC</t>
  </si>
  <si>
    <t>Configuración software</t>
  </si>
  <si>
    <t>Tablero trifásico 24 ctos.</t>
  </si>
  <si>
    <t>2.10 Acometida TGC a TSC en 4No.6+1No.8 HFFRLS, tubería PVC 1" SCH40</t>
  </si>
  <si>
    <t>2.01 Acometida ppal a TBI en 3No.2+1No.2, tubería PVC 1 1/2"</t>
  </si>
  <si>
    <t>2.12 Acometidas a TBI en 3No.4+1No.4, tubería PVC 1 1/2"</t>
  </si>
  <si>
    <t>2.10 Acometida TSC a tableros ascensores en 4No.8+1No.10 HFFRLS, tubería PVC 1" SCH40</t>
  </si>
  <si>
    <t>2.10 Tubería EMT 2"</t>
  </si>
  <si>
    <t>5.04 Ducto cerrado 54x200 mm.</t>
  </si>
  <si>
    <t>Ducto cerrado 54 x 200 mm</t>
  </si>
  <si>
    <t>Unión</t>
  </si>
  <si>
    <t>Chapeta tierra</t>
  </si>
  <si>
    <t>Cable cobre desnudo No.10</t>
  </si>
  <si>
    <t>3.02 Tablero trifásico 36 ctos.</t>
  </si>
  <si>
    <t>Tablero trifásico 36 ctos.</t>
  </si>
  <si>
    <t>PROVISIONALES LA QUINTA</t>
  </si>
  <si>
    <t>Poste metálico 8x510 Kg</t>
  </si>
  <si>
    <t>Cable trenzado aluminio 3x2+2</t>
  </si>
  <si>
    <t>Conectores piercing</t>
  </si>
  <si>
    <t>Perchas 1 puesto con aislador yoyo</t>
  </si>
  <si>
    <t>Bajante en tubería EMT 1"</t>
  </si>
  <si>
    <t>Acometida a contador en cable 3x6+6 neutro concéntrico</t>
  </si>
  <si>
    <t>Acometida contador a tablero campamento en 4No.6+1No.8 THHN, tubería PVC 1"</t>
  </si>
  <si>
    <t>Breaker 1x20A</t>
  </si>
  <si>
    <t>Breaker 2x30A</t>
  </si>
  <si>
    <t>Breaker 3x30A</t>
  </si>
  <si>
    <t>Salida alumbrado</t>
  </si>
  <si>
    <t>Salida tomacorriente</t>
  </si>
  <si>
    <t>Salida pulsador timbre</t>
  </si>
  <si>
    <t>Cable trenzado 3x2+2</t>
  </si>
  <si>
    <t>Conector piercing</t>
  </si>
  <si>
    <t>Percha 1 puesto</t>
  </si>
  <si>
    <t>Aislador yoyo</t>
  </si>
  <si>
    <t>2.6 Bajante en tubería EMT 1"</t>
  </si>
  <si>
    <t>Tubería EMT 1"</t>
  </si>
  <si>
    <t>Capacete metálico 1"</t>
  </si>
  <si>
    <t>Cable concéntrico 3x6+6</t>
  </si>
  <si>
    <t>5.1 Caja contador trifásico</t>
  </si>
  <si>
    <t>Tubería EMT 1/2"</t>
  </si>
  <si>
    <t>Conector TGC</t>
  </si>
  <si>
    <t>Acometida a reflectores en cable 2No.12</t>
  </si>
  <si>
    <t>2.15 Acometida contador a tablero 4No.6+1No.8 THHN, tubería PVC 1"</t>
  </si>
  <si>
    <t>2.15 Acometida a tablero obra en 4No.6 THHN</t>
  </si>
  <si>
    <t>Breaker enchufable 2x30A</t>
  </si>
  <si>
    <t>Acometida a reflectores en cable 2x12</t>
  </si>
  <si>
    <t>Cable No.12</t>
  </si>
  <si>
    <t>Provisionales exteriores</t>
  </si>
  <si>
    <t xml:space="preserve">Subtotal </t>
  </si>
  <si>
    <t>Provisionales campamentos</t>
  </si>
  <si>
    <t>SUBTOTAL COSTOS DIRECTOS</t>
  </si>
  <si>
    <t>2.4</t>
  </si>
  <si>
    <t>2.5</t>
  </si>
  <si>
    <t>2.6</t>
  </si>
  <si>
    <t>2.7</t>
  </si>
  <si>
    <t>2.8</t>
  </si>
  <si>
    <t>2.9</t>
  </si>
  <si>
    <t>2.10</t>
  </si>
  <si>
    <t>Tablero trifásico 12 ctos. (campamento y obra)</t>
  </si>
  <si>
    <t>Contador trifásico. Incluye caja hermética y puesta a tierra</t>
  </si>
  <si>
    <t>Acometida tablero campamento a tablero provisional obra en 4No.6 THHN</t>
  </si>
  <si>
    <t>Und</t>
  </si>
  <si>
    <t>Vr. Unitario</t>
  </si>
  <si>
    <t>Unidad</t>
  </si>
  <si>
    <t>ITEM</t>
  </si>
  <si>
    <t>DESCRIPCIÓN</t>
  </si>
  <si>
    <t>UND.</t>
  </si>
  <si>
    <t>CANT.</t>
  </si>
  <si>
    <t>V/UNIT.</t>
  </si>
  <si>
    <t>V/PARCIAL</t>
  </si>
  <si>
    <t>VALOR  MATERIALES</t>
  </si>
  <si>
    <t>VALOR  ACCESORIOS, TRANSPORTE  Y HERRAMIENTAS</t>
  </si>
  <si>
    <t>CUADRILLA DE INSTALACIONES ELÉCTRICAS</t>
  </si>
  <si>
    <t>VALOR TOTAL COSTO DIRECTO</t>
  </si>
  <si>
    <t>DIA</t>
  </si>
  <si>
    <t>un</t>
  </si>
  <si>
    <t>DESCRIPCION</t>
  </si>
  <si>
    <t>VALOR MATERIAL</t>
  </si>
  <si>
    <t>INC. IVA</t>
  </si>
  <si>
    <t>CS400</t>
  </si>
  <si>
    <t>CS334</t>
  </si>
  <si>
    <t>VALOR PARCIAL</t>
  </si>
  <si>
    <t>NORMA</t>
  </si>
  <si>
    <t>Terminal preensamblado encogible en frío para cables 15 kV - juego trifásico</t>
  </si>
  <si>
    <t>CS276</t>
  </si>
  <si>
    <t>m</t>
  </si>
  <si>
    <t>Ducto para cambio de circuito aéreo a subterráneo en IMC 6"</t>
  </si>
  <si>
    <t>Bota termocontractil 6" tres entradas</t>
  </si>
  <si>
    <t>Boquilla terminal PVC 6"</t>
  </si>
  <si>
    <t>Cinta de acero inoxidable Bandit 1/2"</t>
  </si>
  <si>
    <t>Hebilla de acero inoxidable Bandit 1/2"</t>
  </si>
  <si>
    <t>Concreto 210kg/cm2 (3000 psi)</t>
  </si>
  <si>
    <t>Curva PVC 6" radio amplio tipo DB</t>
  </si>
  <si>
    <t>Cinta Scotch 33 de 3M</t>
  </si>
  <si>
    <t>Cinta Scotch 130 de 3M autofundente</t>
  </si>
  <si>
    <t>Cable cobreTHHN  No.12AWG color verde</t>
  </si>
  <si>
    <t>Collarín una salida 7-8"</t>
  </si>
  <si>
    <t>Diagonal pie deamigo en V de 48"</t>
  </si>
  <si>
    <t>Conector puesta a tierra TGC 8</t>
  </si>
  <si>
    <t>Descargadores de sobretensiones - juego trifásico incluye puesta a tierrra.</t>
  </si>
  <si>
    <t>Puesta a tierra MT en cable cobre desnudo No.4 AWG</t>
  </si>
  <si>
    <t>UNIDAD</t>
  </si>
  <si>
    <t>VR UNITARIO</t>
  </si>
  <si>
    <t>Cable cobre desnudo No.4 AWG</t>
  </si>
  <si>
    <t>Concreto 2500 psi</t>
  </si>
  <si>
    <t>Gravilla para Material filtrante m3</t>
  </si>
  <si>
    <t>Dado metalico galvanizado caliente para montaje cortacircuito</t>
  </si>
  <si>
    <t xml:space="preserve">Seccion trifásica red MT 11,4kV </t>
  </si>
  <si>
    <t>Caja cortacircuito 10kV 100Amp</t>
  </si>
  <si>
    <t>rollo</t>
  </si>
  <si>
    <t>Cinta señalización PELIGO ALTA TENSIÓN rollo x 500m</t>
  </si>
  <si>
    <t>Cruceta metálica galvanizada en caliente 2 1/2" x 2 1/2" x 1/4" x 1,5m</t>
  </si>
  <si>
    <t>DPS oxido de zin 12kV 10kA tipo exterior</t>
  </si>
  <si>
    <t>tubo</t>
  </si>
  <si>
    <t>m3</t>
  </si>
  <si>
    <t>m2</t>
  </si>
  <si>
    <t>M3</t>
  </si>
  <si>
    <t>Retiro de excombros m3</t>
  </si>
  <si>
    <t>Servcio de grua x Hora</t>
  </si>
  <si>
    <t>Hr</t>
  </si>
  <si>
    <t>Tubo IMC 1/2" x 3 metros</t>
  </si>
  <si>
    <t>Excavación en tierra</t>
  </si>
  <si>
    <t>Corte de concreto 5cm espesor x 1 metro lineal</t>
  </si>
  <si>
    <t>Arena m3</t>
  </si>
  <si>
    <t>Tubo PVC 6" tipo DB x 6 metros</t>
  </si>
  <si>
    <t>Tubo IMC 6" x 3 metros</t>
  </si>
  <si>
    <t>VALOR UNITARIO</t>
  </si>
  <si>
    <t>CANTID</t>
  </si>
  <si>
    <t>Desmonte y entrega red aérea trifásica 11,kV diferentes calibres</t>
  </si>
  <si>
    <t>Traslado de equipos Interruptor-Secionados/Transformador 11,4kV</t>
  </si>
  <si>
    <t xml:space="preserve">Traslado interruptor-seccionador trifásico 11,4kV en poste </t>
  </si>
  <si>
    <t>LA218</t>
  </si>
  <si>
    <t>Traslado transformador trifásico 11,4kV en poste diferentes potencias- incluye traslado macormedidor</t>
  </si>
  <si>
    <t>Traslado maacromedidor</t>
  </si>
  <si>
    <t>Maniobra y libranza de redes 11,4kV</t>
  </si>
  <si>
    <t>Poste concreto 12m x 510kgf</t>
  </si>
  <si>
    <t>Poste concreto 12m x 750kgf</t>
  </si>
  <si>
    <t>Desmonte y entrega estructura  11,4kV no incluye poste</t>
  </si>
  <si>
    <t xml:space="preserve">DESCRIPCIÓN: </t>
  </si>
  <si>
    <t>Desmonte y entrega de poste concreto 12m x 750kgf</t>
  </si>
  <si>
    <t>incluye desmonte de aisladores en PF84039552 y estructura LA212 calle 40A sur entre calles 3este y 3A este</t>
  </si>
  <si>
    <t>Base granular tipo BG-A</t>
  </si>
  <si>
    <t>Base granular tipo BG-B</t>
  </si>
  <si>
    <t>Sub-base granular tipo SBG-B</t>
  </si>
  <si>
    <t>Tubo PVC  6"  tipo TDP x 6 metros</t>
  </si>
  <si>
    <t>Sub-base granular SBG-PEA.</t>
  </si>
  <si>
    <t>Arena de peña</t>
  </si>
  <si>
    <t>Demolición concreto en andén (espesor 10 cm)</t>
  </si>
  <si>
    <t>incluye reposición sobreancho de andén</t>
  </si>
  <si>
    <t xml:space="preserve">retiro excombros demolición de andén con sobreancho y material excavado </t>
  </si>
  <si>
    <t>brecha de 0,5 x 1,44 m</t>
  </si>
  <si>
    <t>norma CS212 y CS2013</t>
  </si>
  <si>
    <t xml:space="preserve">Canalización redes subterráneas andén en concreto  2 x 6" PVC TDP </t>
  </si>
  <si>
    <t>Canalización redes subterráneas andén en concreto 4 x 6" PVC TDP</t>
  </si>
  <si>
    <t>2 metros de ducto de 6"</t>
  </si>
  <si>
    <t>Canalización redes subterráneas calzada pavimento rígido 4 x 6" PVC TDP</t>
  </si>
  <si>
    <t>CS217</t>
  </si>
  <si>
    <t>Concreto 4000 psi rotura no menor a 43kg/cm2</t>
  </si>
  <si>
    <t>Demolición concreto en vía (espesor 20 cm)</t>
  </si>
  <si>
    <t xml:space="preserve">retiro excombros demolición de vía con sobreancho y material excavado </t>
  </si>
  <si>
    <t>LA413 - Retenida terminal poste a poste con varilla de anclaje</t>
  </si>
  <si>
    <t>Cruceta metálica de 2,5 m</t>
  </si>
  <si>
    <t>Diagonal en ángulo tipo 3</t>
  </si>
  <si>
    <t>Grapa terminal tipo recto para cables entre 3/0 AWG – 266,8 kcmil</t>
  </si>
  <si>
    <t>Templete</t>
  </si>
  <si>
    <t>Tuerca de ojo alargado 5/8”</t>
  </si>
  <si>
    <t>Perno de ojo tipo 4 (5/8" x 400mm)</t>
  </si>
  <si>
    <t>Poste de concreto de 12 m 1 050 kg (3)</t>
  </si>
  <si>
    <t>LA 212 - Estructura final de circuito primario sencillo en bandera - Sin Poste</t>
  </si>
  <si>
    <t>Espárrago 5/8" x 12"</t>
  </si>
  <si>
    <t>Tornillo de carruaje 5/8" x 1 1/2"</t>
  </si>
  <si>
    <t>Tornillo de acero galvanizado 5/8" x 2"</t>
  </si>
  <si>
    <t>No incluye el templete</t>
  </si>
  <si>
    <t>Aislador de suspensión polimérico  24kV</t>
  </si>
  <si>
    <t>LA413 - Retenida terminal poste a poste con varilla de anclaje- Sin poste auxiliar</t>
  </si>
  <si>
    <t>Aislador tensor ANSI 54-2</t>
  </si>
  <si>
    <t>Varilla de anclaje</t>
  </si>
  <si>
    <t>Guardacabo tipo 2</t>
  </si>
  <si>
    <t>Grapa prensadora de tres tornillos</t>
  </si>
  <si>
    <t>Cable de acero galvanizado de 3/8”</t>
  </si>
  <si>
    <t>Poste de concreto 10 m 510 kg</t>
  </si>
  <si>
    <t>Vigueta de anclaje para templete</t>
  </si>
  <si>
    <t>Abrazadera de dos salidas tipo 4, 200 mm</t>
  </si>
  <si>
    <t>Abrazadera sin salidas tipo 2 mm</t>
  </si>
  <si>
    <t>es con material Sub base</t>
  </si>
  <si>
    <t>es con base y sub base</t>
  </si>
  <si>
    <t>Lleno y compactado</t>
  </si>
  <si>
    <t>LA415 - Retenida terminal bandera poste a poste con varilla de anclaje</t>
  </si>
  <si>
    <t>LA415 - Retenida terminal bandera poste a poste con varilla de anclaje -Sin poste auxiliar</t>
  </si>
  <si>
    <t>REDES MT 11,4kV</t>
  </si>
  <si>
    <t>SUBTOTAL  REDES MT 11,4kV</t>
  </si>
  <si>
    <t>ITEMS REDES MT 11,4kV</t>
  </si>
  <si>
    <t>canalización para circuito Atenas y circuito Sidel en la calle 3C este</t>
  </si>
  <si>
    <t>cuatro cruces de vía</t>
  </si>
  <si>
    <t xml:space="preserve">Traslado estructura MT 11,4kV con poste </t>
  </si>
  <si>
    <t>Traslado red trifásica MT 11,4kV aérea cable desnudo diferentes calibres</t>
  </si>
  <si>
    <t>160 en  circuito Atenas +  78 en circuito Sidel</t>
  </si>
  <si>
    <t>Calle 40A sur entre carreras 3 y 3A este</t>
  </si>
  <si>
    <t>Calle 40A sur entre carreras 3C este y</t>
  </si>
  <si>
    <t>Desmonte y entrega de poste concreto 10m x 510kgf</t>
  </si>
  <si>
    <t>Poste concreto 10m x 750kgf</t>
  </si>
  <si>
    <t>en circuito Sidel calle 3C este y Carrera 41 Sur</t>
  </si>
  <si>
    <t>canalización +afloramientos+reserva en cajas circuitos Atenas y Sidel</t>
  </si>
  <si>
    <t>ITEMS REDES BT</t>
  </si>
  <si>
    <t>Muro en bloque  (25 cms de espesor)</t>
  </si>
  <si>
    <t>Pañete mortero (revoque)</t>
  </si>
  <si>
    <t>Concreto simple 1:3:6</t>
  </si>
  <si>
    <t>Escalera de gato 5 pasos 40 cm varilla corrugada 5/8" incluye instalación</t>
  </si>
  <si>
    <t>LA320- Apoyo circuito secundario sencillo en conductor trenzado</t>
  </si>
  <si>
    <t>Poste de concreto 10 m 750 kg</t>
  </si>
  <si>
    <t>Amarre plástico para cable trenzado</t>
  </si>
  <si>
    <t>Soporte para luminaria horizontal f3/4” x 2 m en vías secundarias</t>
  </si>
  <si>
    <t>Caja de distribución aérea BT</t>
  </si>
  <si>
    <t>Fotocontrol 1000 W / 1800 VA 205 / 285 V, tipo N.C.</t>
  </si>
  <si>
    <t>Grapa de suspensión para cable trenzado de B.T.</t>
  </si>
  <si>
    <t>Tensor de acometidas</t>
  </si>
  <si>
    <t>cinta de acero inoxidable 5/8”x 0,03”</t>
  </si>
  <si>
    <t>Hebilla de acero inoxidable 5/8”</t>
  </si>
  <si>
    <t>Luminaria de sodio 70 W para alumbrado público</t>
  </si>
  <si>
    <t>Cable BT Aéreo Al 2x25+54,6 mm^2, neutro auto soportado</t>
  </si>
  <si>
    <t>Cable BT Aéreo Al 3x35+54,6 mm^2, neutro auto soportado</t>
  </si>
  <si>
    <t>Bombilla de sodio 70 W sodio HID, 90 V</t>
  </si>
  <si>
    <t>Percha porta aislador de un puesto</t>
  </si>
  <si>
    <t>Conector de tornillo con chaqueta aislante, tipo 2</t>
  </si>
  <si>
    <t>Tornillo soporte para brazo de luminaria 1/2"</t>
  </si>
  <si>
    <t>Abrazadera de una salida tipo 2, 140 mm</t>
  </si>
  <si>
    <t>4 en circuito Atenas Calle 40A sur  + 2 en circuito Sidel calle 3C este</t>
  </si>
  <si>
    <t>Traslado luminaria AP diferentes tipos</t>
  </si>
  <si>
    <t>LA320- Apoyo circuito secundario sencillo en conductor trenzado  -Sin Poste y sin Luminaria AP</t>
  </si>
  <si>
    <t>Cable aluminio cuadruplex 3 x 2/0 + 2/0</t>
  </si>
  <si>
    <t>Cable aluminio cuadruplex 3 x 2/0 + 1/0</t>
  </si>
  <si>
    <t>ALUMBRADO PUBLICO AP</t>
  </si>
  <si>
    <t xml:space="preserve">Desmonte y entrega luminaria AP diferentes tipos </t>
  </si>
  <si>
    <t>Brazo luminaria LED AP  XXXXXX según norma UAESP</t>
  </si>
  <si>
    <t>Grapa retención aislada para red trenzada de B.T.</t>
  </si>
  <si>
    <t>Conector de tornillo con chaqueta aislante, tipo 4</t>
  </si>
  <si>
    <t>Tapón sellador de cable 4/0 AWG</t>
  </si>
  <si>
    <t>LA321- Final circuito secundario sencillo en conductor trenzado - Sin Poste, sin templete,  sin luminaria</t>
  </si>
  <si>
    <t>Desmonte y entrega de poste concreto 8m x 510kgf</t>
  </si>
  <si>
    <t>2 en circuito Sidel calle 3C este y 5 calle 41 sur</t>
  </si>
  <si>
    <t>SALARIO</t>
  </si>
  <si>
    <t>PRESTACIONES</t>
  </si>
  <si>
    <t>CANTIDAD</t>
  </si>
  <si>
    <t>DEDICACIÓN</t>
  </si>
  <si>
    <t>VR PARCIAL</t>
  </si>
  <si>
    <t>SISO</t>
  </si>
  <si>
    <t>Dotación</t>
  </si>
  <si>
    <t>VALOR GRUPO MES</t>
  </si>
  <si>
    <t>VALOR DÍA CUADRILLA</t>
  </si>
  <si>
    <t>JORNADA  8 HORAS DIA</t>
  </si>
  <si>
    <t xml:space="preserve">HORAS </t>
  </si>
  <si>
    <t>VALOR</t>
  </si>
  <si>
    <t>VALOR CUADRILLA</t>
  </si>
  <si>
    <t>x mes</t>
  </si>
  <si>
    <t>PRIMA</t>
  </si>
  <si>
    <t>CESANTÍAS</t>
  </si>
  <si>
    <t>INTERESES CESANTÍAS</t>
  </si>
  <si>
    <t>VACACIONES</t>
  </si>
  <si>
    <t>SEGURIDAD SOCIAL</t>
  </si>
  <si>
    <t>PENSION</t>
  </si>
  <si>
    <t>EPS</t>
  </si>
  <si>
    <t>ARL</t>
  </si>
  <si>
    <t>Ingeniero residente</t>
  </si>
  <si>
    <t>ABRAZADERA DE UNA SALIDA PARA SUJECIÓN DE CABLES AL POSTE</t>
  </si>
  <si>
    <t>AMARRAS - Abrazadera Plastico De 8 Pulg. (200mm) Con Argolla</t>
  </si>
  <si>
    <t>ARENA DE PEÑA</t>
  </si>
  <si>
    <t>ARENA DE RIO</t>
  </si>
  <si>
    <t>BASE GRANULAR CLASE A (BG_A)</t>
  </si>
  <si>
    <t>BASE GRANULAR CLASE B (BG_B)</t>
  </si>
  <si>
    <t>SUBBASE GRANULAR CLASE B (SBG_B)</t>
  </si>
  <si>
    <t>CONCRETO MR36 (210 Kg/cm2)</t>
  </si>
  <si>
    <t>GRUA EXTENSION PARA POSTES. INCLUYE OPERARIO Y COMBUSTIBLE</t>
  </si>
  <si>
    <t>CONCRETO TREMIE 4000 PSI  28 MPa (280 Kg/cm2)</t>
  </si>
  <si>
    <t>CONCRETO GRAVA COMÚN 2500 PSI 17 MPa (175 Kg/cm2)</t>
  </si>
  <si>
    <t>MARCO Y TAPAS CAJA INSPECCION DOBLE CODENSA CS276</t>
  </si>
  <si>
    <t xml:space="preserve">Marco y tapas caja inspección para caja inspección CS276 ENEL </t>
  </si>
  <si>
    <t>Caja inspección doble canalización MT y BT norma CS276</t>
  </si>
  <si>
    <t>POSTE EN CONCRETO LA, H=12m, CR=510 KG</t>
  </si>
  <si>
    <t>POSTE EN CONCRETO LA, H=12m, CR=750 KG</t>
  </si>
  <si>
    <t>POSTE EN CONCRETO AP, H=10m, CR=510 KG</t>
  </si>
  <si>
    <t>POSTE EN CONCRETO LA, H=10m, CR=750 KG</t>
  </si>
  <si>
    <t>POSTE EN CONCRETO LA, H=12m, CR=1050 KG</t>
  </si>
  <si>
    <t>VARILLA COPPERWELD DE 5/8" (2.4 MT)</t>
  </si>
  <si>
    <t>Varilla Copper weld 5/8" x 2,4m certificada Retie</t>
  </si>
  <si>
    <t>CURVA PVC 6"</t>
  </si>
  <si>
    <t>INTERELECTRICAS 2021</t>
  </si>
  <si>
    <t xml:space="preserve">Cable Aluminio XLPE 15 KV No. 4/0 (120 mm) Hilos 100% </t>
  </si>
  <si>
    <t>camioneta Pick up</t>
  </si>
  <si>
    <t>salario minimo 2021</t>
  </si>
  <si>
    <t>SALIOS MINIMOS</t>
  </si>
  <si>
    <t>32.IOS MINIMOS</t>
  </si>
  <si>
    <t>aux transporte</t>
  </si>
  <si>
    <t>aux transp</t>
  </si>
  <si>
    <t>días de trabajo al mes</t>
  </si>
  <si>
    <t>Técnico jefe cuadrilla</t>
  </si>
  <si>
    <t>Técnicos electricistas</t>
  </si>
  <si>
    <t>Ayudante</t>
  </si>
  <si>
    <t>MANO DE OBRA OPERATIVA</t>
  </si>
  <si>
    <t>RETIRO DE POSTES DE AP/LA (INCLUYE TRASLADO A SITIO DE ACOPIO)</t>
  </si>
  <si>
    <t>CAJA DE INSPECCIÓN TIPO VEHICULAR NORMA CODENSA CS 280 (INCLUYE BASE, MUROS, PASOS, PAÑETE, CUBIERTA, ARO Y TAPA)</t>
  </si>
  <si>
    <t>CAJA DE INSPECCIÓN DOBLE PARA CANALIZACIÓN NORMA CODENSA CS 276 (ANDEN. INCLUYE BASE, MUROS, PAÑETE, MARCO Y TAPAS). MEDIDAS EXTERNAS: 1.79 X 1.49M. MEDIDAS INTERNAS: 1.49 X 1.19M. ALTURA: 1.22M.</t>
  </si>
  <si>
    <t>incluye concreto tapas</t>
  </si>
  <si>
    <t>solado piso</t>
  </si>
  <si>
    <t>PRESUPUESTO MODIFICACIÓN DE REDES SECAS SECTOR ESTACIÓN LA VICTORIA ALTERNATIVA 2</t>
  </si>
  <si>
    <t>Acometida en cable Aluminio XLPE  3 x No.4/0 pantalla en hilos al 100%</t>
  </si>
  <si>
    <t>Desmonte y entrega de transformador trifásico 11,4kV diferentes potencias incluye macormedidor - sin poste.</t>
  </si>
  <si>
    <t>1 en calle 40A sur cto Paraiso</t>
  </si>
  <si>
    <t>2 en calle 40 sur+2 en calle 41sur cto paraiso+2 en calle 4 este cto paraiso+ 2 en cra 6 cto X</t>
  </si>
  <si>
    <t>2 en calle 40 sur+ 2 en calle 41sur cto paraiso+ 2 en carrera 4este cto paraiso+ 2 en cra 6 cto X</t>
  </si>
  <si>
    <t>2 en calle 40 sur+ 2 en calle 41sur cto paraiso+2 en cra 4 este cto paraiso+2 en cra 6 cto X</t>
  </si>
  <si>
    <t>6 en calle 40 sur + 8 en calle 41 sur cto Paraiso+ 2 en cra 4 este cto paraiso+3 en cra 6 cto X</t>
  </si>
  <si>
    <t>214 en calle 40 sur cto Sidel + 233 en calle 41 sur cto Paraiso+119 en cra 4 este cto paraiso+109 en cra 6 cto X</t>
  </si>
  <si>
    <t>20 en calle 40 sur cto Sidel + 10 en calle 41 sur cto Paraiso+ 20 en cra 4 este cto paraiso+15 en cra 6 cto X</t>
  </si>
  <si>
    <t>270 en calle 40 sur cto sidel incluye aflora + 2 m reserva por caja+ 243 calle 41 sur Cto Paraiso más aflora y reserva en caja+134 en cra 4 este mas aflo y reservas+124 en cra6 cto X mas aflora mas reservas</t>
  </si>
  <si>
    <t>1 en calle 40 sur cto sidel + 1 en calle 41sur cto Paraiso+1 en cra 4 este cto paraiso+1 en cra6 cto X</t>
  </si>
  <si>
    <t>10 en calle 40 sur+ 4 en calle 40A cto Paraiso+10 en calle41sur cto paraiso+3 en cra 4 este+6 en cra6 cto X</t>
  </si>
  <si>
    <t>8 en calle 40 sur + 3 3n calle 40A sur cto Paraiso+9 en calle 41sur cto Paraiso+ 2 en cra 4 este cto paraiso+2 en cra6 cto X</t>
  </si>
  <si>
    <t>234 en calle 40sur cto sidel+ 243 en calle 41 sur cto Paraiso+ 134 en cra 4este cto paraiso+124 en cra 6 este cto X</t>
  </si>
  <si>
    <t>2 en calle 40 sur cto sidel + 1 en calle 40A sur cto Sidel + 1 en calle 41sur cto Paraiso+1 en cra 4 este cto paraiso+2 en cra6 este cto X</t>
  </si>
  <si>
    <t>2 en calle 40 sur cto sidel + 1 en calle 41sur Paraiso+1 en cra 4este cto paraiso+2 en cra6 este cto X</t>
  </si>
  <si>
    <t>1 cto sidel calle 40sur +1 en calle 40A sur cto paraiso+ 1 en calle 41sur cto paraiso+1 en cra 4 este cto paraiso+1 en cra6 cto X</t>
  </si>
  <si>
    <t>PRESUPUESTO MODIFICACIÓN DE REDES SECAS SECTOR ESTACIÓN LA VICTORIA ALTERNATIVA 3</t>
  </si>
  <si>
    <t>2 en calle42Asur y trv 3C bis cto X + 2 en cra4 este</t>
  </si>
  <si>
    <t>2 en calle42Asur y trv 3C bis cto X + 2 en cra4 este cto Paraiso</t>
  </si>
  <si>
    <t>5 en calle42Asur y trv 3C bis cto X + 2 en cra 4 este cto Paraiso</t>
  </si>
  <si>
    <t>142 en calle42Asur y trv 3C bis cto X + 101  en cra 4Este Cto Paraiso + 86 en cra4 este Cto paraiso</t>
  </si>
  <si>
    <t>37 en trv 3C bis cto X+ 15 en cra 4 este cto paraiso</t>
  </si>
  <si>
    <t>213 en calle42Asur y trv 3C bis cto X mas aflora y reserva + 101 en cra 4 este cto paraiso mas aflora y reserva</t>
  </si>
  <si>
    <t>1 en calle42Asur + 1 en cra 4 este cto paraiso</t>
  </si>
  <si>
    <t>8 en calle42Asur y trv 3C bis cto X + 6 en cra 4 este cto paraiso</t>
  </si>
  <si>
    <t>6 en calle42Asur y trv 3C bis cto X+ 5 en cra 4 este cto paraiso</t>
  </si>
  <si>
    <t>179 en calle42Asur y trv 3C bis cto X + 101 en cra 4 este cto paraiso</t>
  </si>
  <si>
    <t>2 en calle42Asur y trv 3C bis cto X + 2 en cra 4 este cto paraiso</t>
  </si>
  <si>
    <t>1 en calle42Asur y trv 3C bis cto X+ 1 en cra 4 este cto paraiso</t>
  </si>
  <si>
    <t>2 en calle 43A sur ctos Sta Librada y el Zuque</t>
  </si>
  <si>
    <t>3 en calle 43A sur ctos Sta Librada y el Zuque</t>
  </si>
  <si>
    <t>76 en calle 43A sur ctos Sta Librada y el Zuque</t>
  </si>
  <si>
    <t>10 en calle 43A sur ctos Sta Librada y el Zuque</t>
  </si>
  <si>
    <t>16 en calle 43A sur ctos Sta Librada y el Zuque mas aflora+reservas</t>
  </si>
  <si>
    <t>2 en seccionador ctos Sta Librada y el Zuque</t>
  </si>
  <si>
    <t>4 en calle 43A sur ctos Sta Librada y el Zuque</t>
  </si>
  <si>
    <t>86 en calle 43A sur ctos Sta Librada y el Zuque</t>
  </si>
  <si>
    <t>seccionador ctos Sta Librada y el Zuque</t>
  </si>
  <si>
    <t>1 en calle 43A sur cto el Zuque</t>
  </si>
  <si>
    <t>1 en calle 43A sur ctos Sta Librada y el Zuque</t>
  </si>
  <si>
    <t>PRESUPUESTO MODIFICACIÓN DE REDES SECAS SECTOR ESTACIÓN LA VICTORIA ALTAMIRA ALTERNATIVA 2</t>
  </si>
  <si>
    <t>4 en calle43A sur cto el Zuque</t>
  </si>
  <si>
    <t>2 en calle43A sur cto el Zuque</t>
  </si>
  <si>
    <t>52 en calle 43A sur +17 en carrera 13 bis este</t>
  </si>
  <si>
    <t>10 en calle 43A sur +5 en carrera 13 bis este</t>
  </si>
  <si>
    <t>62 en calle 43A sur cto el zuque mas aflora y reservas en cajas +40 en carrera 13 bis este cto el zuque mas aflora y reservas en cajas</t>
  </si>
  <si>
    <t>5 en calle43A sur cto el Zuque + seccionador cuchillas en cto el zuque</t>
  </si>
  <si>
    <t>3 en calle43A sur cto el Zuque</t>
  </si>
  <si>
    <t>75 en calle43A sur cto el Zuque + 22 en carrera 13bis este cto el zuque</t>
  </si>
  <si>
    <t>2 en calle43A sur cto el Zuque + 1 en carrera 13bis este cto el zuque</t>
  </si>
  <si>
    <t>1 en carrera 13bis este cto el zuque</t>
  </si>
  <si>
    <t>1 en calle43A sur cto el Zuque + 1 en carrera 13bis este cto el zuque</t>
  </si>
  <si>
    <t>2 en cra 16A este cto el paraiso</t>
  </si>
  <si>
    <t>1 en cra 16A este cto el paraiso</t>
  </si>
  <si>
    <t>4 en cra 16A este cto el paraiso</t>
  </si>
  <si>
    <t>94 en cra 16A este cto el paraiso</t>
  </si>
  <si>
    <t>10 en cra 16A este cto el paraiso</t>
  </si>
  <si>
    <t>104 en cra 16A este cto el paraiso mas aflora y reservas en cajas</t>
  </si>
  <si>
    <t>5 en cra 16A este cto el paraiso</t>
  </si>
  <si>
    <t>3 en cra 16A este cto el paraiso</t>
  </si>
  <si>
    <t>110 en cra 16A este cto el paraiso</t>
  </si>
  <si>
    <t xml:space="preserve">Curva IMC  6" radio amplio </t>
  </si>
  <si>
    <t>TUBO METÁLICO RIGID GALVANIZADO DE 6" $ 370.000 ML</t>
  </si>
  <si>
    <t>instalación ductos, cinta peligro</t>
  </si>
  <si>
    <t>tramites ante el OR enel</t>
  </si>
  <si>
    <t>20 DE JULIO</t>
  </si>
  <si>
    <t>LA VICTORIA</t>
  </si>
  <si>
    <t>ALTAMIRA</t>
  </si>
  <si>
    <t>JUAN REY</t>
  </si>
  <si>
    <t>ESTACIÓN</t>
  </si>
  <si>
    <t xml:space="preserve">SOLUCION INTERFERENCIAS </t>
  </si>
  <si>
    <t>NA</t>
  </si>
  <si>
    <t xml:space="preserve">PRESUPUESTOS SOTERRADO DE REDES MT 11,4 kV </t>
  </si>
  <si>
    <t>PRESUPUESTO MODIFICACIÓN DE REDES SECAS SECTOR ESTACIÓN ALTAMIRA PROPUESTA 4</t>
  </si>
  <si>
    <t>PRESUPUESTO MODIFICACIÓN DE REDES SECAS SECTOR ESTACIÓN ALTAMIRA PROPUESTA 5</t>
  </si>
  <si>
    <t xml:space="preserve">2 en circuito el Paraiso calle 42A sur </t>
  </si>
  <si>
    <t xml:space="preserve">15 en circuito el Paraiso calle 42A sur </t>
  </si>
  <si>
    <t>1 en circuito el Paraiso calle 42A sur + 1 en carrera 12 a este</t>
  </si>
  <si>
    <t>5 en circuito el Paraiso calle 42A sur + 1 en carrera 12 a este</t>
  </si>
  <si>
    <t xml:space="preserve">3 en circuito el Paraiso calle 42A sur </t>
  </si>
  <si>
    <t>Desmonte y entrega red subterránea trifásica 11,kV diferentes calibres XLPE</t>
  </si>
  <si>
    <t>2 en circuito el Paraiso calle 42A sur + 1 circuito paraiso en carrera 12 a este</t>
  </si>
  <si>
    <t>1 en circuito el Paraiso calle 42A sur</t>
  </si>
  <si>
    <t>1 en circuito el Paraiso calle 42A sur + 1 en carrera 12 a este circuito paraiso</t>
  </si>
  <si>
    <t>3 en circuito el zuque carrera 13b este + 1 en circuito el zuque calle 42 sur+ 2 circuito el paraiso carrera 13b este</t>
  </si>
  <si>
    <t>2 en circuito el zuque carrera 13b este +1 circuito el paraiso carrera 13b este</t>
  </si>
  <si>
    <t>4 en circuito el zuque carrera 13b este + 1 en circuito el zuque calle 42 sur+ 3 circuito el paraiso carrera 13b este</t>
  </si>
  <si>
    <t>2 en circuito el zuque carrera 13b este + 1 circuito el paraiso carrera 13b este</t>
  </si>
  <si>
    <t>1 en circuito el zuque carrera 13b este + 1 en circuito el zuque calle 42 sur+ 1 circuito el paraiso carrera 13b este</t>
  </si>
  <si>
    <t>3 circuito el paraiso carrera 13b este</t>
  </si>
  <si>
    <t>1 circuito el zuque carrera 13b este + 1 circuito paraiso carrera 13b este</t>
  </si>
  <si>
    <t>10en circuito el zuque carrera 13b este + 10 en circuito paraiso carrera 13b este</t>
  </si>
  <si>
    <t>1 en circuito el zuque carrera 14b este</t>
  </si>
  <si>
    <t>112 en circuuito el zuque carrera 13b este +,58 en circuito el zuque calle 42 sur + 86 en circuito paraiso carrera 13b este</t>
  </si>
  <si>
    <t>112 en circuito el zuque carrera 13b este + 58 en circuito el zuque calle 42 sur + 86 circuito paraiso carrera 13 b este+ 72 de 6 afloramientos+ 16 de reserva en cajas</t>
  </si>
  <si>
    <t>5 en circuito el zuque carrera 13b este + 3 en circuito el zuque calle 42 sur+ 4 circuito el paraiso carrera 13b este</t>
  </si>
  <si>
    <t>112 circuito el zuque carrera 13b este+ 57 circuito el zuque calle 42 sur +88 circuio el paraiso carrera 13b este</t>
  </si>
  <si>
    <t>3 circuito el zuque carrera 13b este+ 1 circuito paraiso carrera 13b este</t>
  </si>
  <si>
    <t>1 en cto el zuque carrera 13b este</t>
  </si>
  <si>
    <t>1 en cto el zuque calle 42 sur+ 1 en cto paraiso carrera 13b este</t>
  </si>
  <si>
    <t>3 en circuito el Paraiso calle 42A sur y 1 en carrera 12A este circuito el paraiso puesto salud</t>
  </si>
  <si>
    <t>4 en circuito el Paraiso calle 42A sur y 1 en carrera 12A este circuito el paraiso</t>
  </si>
  <si>
    <t>100 en circuito el Paraiso calle 42A sur y 30 en carrera 12A este circuito el paraiso - puesto salud</t>
  </si>
  <si>
    <t>100 en circuito el Paraiso calle 42A sur y 30 en carrera 12A este circuito el Zuque mas afloramientos y reservas en cajas</t>
  </si>
  <si>
    <t>75 en circuito el Paraiso calle 42A sur + 35 en carrera 12 a este</t>
  </si>
  <si>
    <t>25 en circuito el Paraiso calle 42A sur mas afloramientos</t>
  </si>
  <si>
    <t>PRESUPUESTO MODIFICACIÓN DE REDES SECAS SECTOR ESTACIÓN ALTAMIRA ALTERNATIVA 1 - MORALBA</t>
  </si>
  <si>
    <t>PRESUPUESTO MODIFICACIÓN DE REDES SECAS SECTOR ESTACIÓN LA VICTORIA ALTAMIRA ALTERNATIVA 3</t>
  </si>
  <si>
    <t>LA411 - Retenida terminal o en ángulo poste a varilla de anclaje</t>
  </si>
  <si>
    <t>LA212</t>
  </si>
  <si>
    <t>LA415</t>
  </si>
  <si>
    <t>LA411</t>
  </si>
  <si>
    <t>MARCO Y TAPA CAJA PASO SENCILLA ANDEN ETB</t>
  </si>
  <si>
    <t>MARCO Y TAPAS CAJA PASO DOBLE ANDEN ETB</t>
  </si>
  <si>
    <t>MARCO Y TAPA CIRCULAR CAMARA INSPECCIÓN ETB PL0025</t>
  </si>
  <si>
    <t>MARCO Y TAPA CAJA INSPECCION SENCILLA CODENSA CS 275</t>
  </si>
  <si>
    <t>MARCO Y TAPA CIRCULAR CAJA VEHICULAR CODENSA CS280</t>
  </si>
  <si>
    <t>MARCO Y TAPA CAJA INSPECCION AP / BT CODENSA CS274</t>
  </si>
  <si>
    <t>MARCO Y TAPA CAJA PASO SENCILLA EN CALZADA ETB</t>
  </si>
  <si>
    <t>MARCO Y TAPAS CAJA PASO DOBLE EN CALZADA ETB</t>
  </si>
  <si>
    <t>ADAPTADOR TERMINAL CAMPANA PVC D= 6"</t>
  </si>
  <si>
    <t>4 DUCTOS D=6" PVC-TDP (INCLUYE SUMINISTRO E INSTALACIÓN. NO INCLUYE RELLENOS). NORMA CS217.</t>
  </si>
  <si>
    <t>RECONSTRUCCIÓN CAJA DE INSPECCIÓN DOBLE PARA CANALIZACIÓN NORMA CODENSA CS 276 (INCLUYE MUROS , PAÑETE, MARCO Y TAPAS) MEDIDAS EXTERNAS: 1.79M X 1.49M. MEDIDAS INTERNAS: 1.49M X 1.19M. ALTURA 1.22M</t>
  </si>
  <si>
    <t>CAJA DE INSPECCIÓN PARA ALUMBRADO PÚBLICO NORMA CODENSA CS 274 (ZVERDE. INCLUYE BASE, MUROS, PAÑETE, MARCO Y TAPA). MEDIDAS EXTERNAS: 0.90 X 0.90M. MEDIDAS INTERNAS: 0.60 X 0.60M. ALTURA: 0.93M.</t>
  </si>
  <si>
    <t>CAJA DE INSPECCIÓN PARA ALUMBRADO PÚBLICO NORMA CODENSA CS 274 (ANDEN. INCLUYE BASE, MUROS, PAÑETE, MARCO Y TAPA). MEDIDAS EXTERNAS: 0.90 X 0.90M. MEDIDAS INTERNAS: 0.60 X 0.60M. ALTURA: 0.93M.</t>
  </si>
  <si>
    <t>CABLE DE MEDIA TENSION XLPE 4/0 ALUMINIO. SUMINISTRO E INSTALACION.</t>
  </si>
  <si>
    <t>LONGITUD</t>
  </si>
  <si>
    <t>VALOR TOTAL INTERFERENCIAS</t>
  </si>
  <si>
    <t>LONGITUD TOTAL INTERFERENCIAS</t>
  </si>
  <si>
    <t>VALOR PROMEDIO METRO LINEAL</t>
  </si>
  <si>
    <t>VR TOTAL</t>
  </si>
  <si>
    <t>PRECIO MERCADO AÑO 2021</t>
  </si>
  <si>
    <t>RETIRO DE TRANSFORMADOR AISLADO EN ACEITE (DE 30 KVA A 225 KVA), 11.400 VC.A./208-120 VC.A. INSTALADO EN POSTE (INCLUYE TRASLADO A SITIO DE ACOPIO).</t>
  </si>
  <si>
    <t>RETIRO DE POSTES DE MT (INCLUYE TRASLADO A SITIO DE ACOPIO, RETIRO DE POSTE, RETENIDAS, ESTRUCTURAS DE AMARRE Y SOPORTE DE RED AÉREA).</t>
  </si>
  <si>
    <t>RETIRO DE RED AÉREA (INCLUYE TRANSPORTE Y DISPOSICIÓN DE SOBRANTES)</t>
  </si>
  <si>
    <t>ml</t>
  </si>
  <si>
    <t>RETIRO Y REUBICACIÓN DE POSTE DE 10 METROS</t>
  </si>
  <si>
    <t>BAJANTE PARA ACOMETIDA IMC 1 D= 6" , CAPACETE, CINTA BAND IT, CURVA PVC. (INCLUYE APERTURA DE ZANJA PARA INSTALACION DE CURVA Y TUBERIA GALVANIZADA, RESANE Y RETIRO DE ESCOMBROS). SUMINISTRO E INSTALACIÓN.</t>
  </si>
  <si>
    <t>ML</t>
  </si>
  <si>
    <t>1m largo x 0,15 espesor x 1m acho con sobreancho</t>
  </si>
  <si>
    <t xml:space="preserve">1m largo x 0,2 espesor x 1,5 ancho incluye sobreancho </t>
  </si>
  <si>
    <t>Diagonal en Angulo Tipo Bandera de 1 1-2 x 3-16 x 1 44 mt</t>
  </si>
  <si>
    <t>Diagonal en V Cruceta Metalica de 1 20 mts</t>
  </si>
  <si>
    <t>IE GRUPO 2021</t>
  </si>
  <si>
    <t>Grapa Prensora de 1 1-2 x 1-4 x 6 3 pernos</t>
  </si>
  <si>
    <t>GRAPA RETENCION RED TRENZADA 1/0- 2/0 AWG</t>
  </si>
  <si>
    <t>GRAPA RETENCION PISTOLA ALUMINIO 2/0 - 4/0 AWG 2 UES 1/2Pulg.</t>
  </si>
  <si>
    <t>GRAVILLA 1/2"</t>
  </si>
  <si>
    <t>Relleno manual de excavaciones en recalce de cimientos, con zahorra natural caliza, y compactación en tongadas sucesivas de 20 cm de espesor máximo con pisón vibrante de guiado manual, hasta alcanzar una densidad seca no inferior al 95% de la máxima obtenida en el ensayo Proctor Modificado. El precio no incluye la realización del ensayo Proctor Modificado.</t>
  </si>
  <si>
    <t>Generador precios Colombia 2021</t>
  </si>
  <si>
    <t>MURO PORTANTE DE MAMPOSTERÍA REFORZADA, DE BLOQUE DE CONCRETO.</t>
  </si>
  <si>
    <t>REVOQUE LISO SOBRE PARAMENTO INTERIOR.</t>
  </si>
  <si>
    <t>EXCAVACION MANUAL EN MATERIAL COMUN (No incluye Cargue ni Retiro de Sobrantes)</t>
  </si>
  <si>
    <t xml:space="preserve">SECRETARIA EDUCA 2018 </t>
  </si>
  <si>
    <t>CARGUE Y RETIRO DE MATERIAL DE EXCAVACIÓN</t>
  </si>
  <si>
    <t>SOPORTE PARA LUMINARIA YOA MAXI 72 W</t>
  </si>
  <si>
    <t>FOTOCELDA PARA LUMINARIA YOA MAXI 72 W</t>
  </si>
  <si>
    <t>SUBBASE GRANULAR PEA (SBG_PEA)</t>
  </si>
  <si>
    <t>Capuchon para Sellar Punta de Cable 2- 4-0 en Frio Red Trenzada</t>
  </si>
  <si>
    <t>no incluye el templete - templete es item separado</t>
  </si>
  <si>
    <t>PRECIO MERCADO 2021</t>
  </si>
  <si>
    <t>FACTOR IPC AL AÑO 2021</t>
  </si>
  <si>
    <t>FACTOR GENERAL</t>
  </si>
  <si>
    <t>TOTALES</t>
  </si>
  <si>
    <t>Valor promedio ML         ALTERNATIVA 1</t>
  </si>
  <si>
    <t>Valor promedio ML         ALTERNATIVA 2</t>
  </si>
  <si>
    <t>Valor promedio ML         ALTERNATIVA 3</t>
  </si>
  <si>
    <t>Valor promedio ML         ALTERNATIVA 4</t>
  </si>
  <si>
    <t>Valor promedio ML         ALTERNATIVA 5</t>
  </si>
  <si>
    <t>INTERFERENCIAS REDES DE MEDIA TENSION (11,4Kv) EN TRAZADOS CABLE AEREO</t>
  </si>
  <si>
    <t>No.</t>
  </si>
  <si>
    <t>CODIGO</t>
  </si>
  <si>
    <t>CIRCUITO</t>
  </si>
  <si>
    <t>CALIBRE</t>
  </si>
  <si>
    <t>I00120JLVK3DG32ASURLR</t>
  </si>
  <si>
    <t>GUACAMAYAS VI37</t>
  </si>
  <si>
    <t>2/0AL</t>
  </si>
  <si>
    <t>I0022OJLVK3C35SURLR</t>
  </si>
  <si>
    <t>1/0 ACSR DESNUDO</t>
  </si>
  <si>
    <t>I00320JLVK1C36i/37SURLR</t>
  </si>
  <si>
    <t>2/0 ACSR DESNUDO</t>
  </si>
  <si>
    <t>I00420JLVK2ESTEC37ASURLR</t>
  </si>
  <si>
    <t>I00520JLVHLVLR</t>
  </si>
  <si>
    <t>MALVINAS_VI31</t>
  </si>
  <si>
    <t>2/0AL DESNUDO</t>
  </si>
  <si>
    <t>I00620JLVK3/3aESTEC39SURLR</t>
  </si>
  <si>
    <t>20_JULIO_SC23</t>
  </si>
  <si>
    <t>4/0ACSR DESNUDO</t>
  </si>
  <si>
    <t>I007LVAMK4ESTEC40a/41SURLR</t>
  </si>
  <si>
    <t>EL_PARAISO_VI12</t>
  </si>
  <si>
    <t>4/0 AL DESNUDO</t>
  </si>
  <si>
    <t>I008LVAMK8ESTEC41a/42SURLR</t>
  </si>
  <si>
    <t>LOS _ALPES VI16</t>
  </si>
  <si>
    <t>125mm2 AAAC MONOPOLAR SEMIAISLADO 15KV</t>
  </si>
  <si>
    <t>I009LVAMK8a/10BISESTEC42SURLR</t>
  </si>
  <si>
    <t>I010LVAMK8a/10aESTEC42aSURLR</t>
  </si>
  <si>
    <t>LOS_ALPES_VI16</t>
  </si>
  <si>
    <t>I011LVAMK11ESTEC42a/42bSURLR</t>
  </si>
  <si>
    <t>ACUEDUCTO VI12R</t>
  </si>
  <si>
    <t>4/0 ACSR DESNUDO</t>
  </si>
  <si>
    <t>I012LVAMK12ESTEC43/43aSURLR</t>
  </si>
  <si>
    <t>ST_LIBRADA_VI28</t>
  </si>
  <si>
    <t>2/0 AL DESNUDO</t>
  </si>
  <si>
    <t>I00120JLVK2/2BISC31fBISSURLAM</t>
  </si>
  <si>
    <t>4 Cu DESNUDO</t>
  </si>
  <si>
    <t>I00220JLVK1bC31fBIS/32BISSURLAM</t>
  </si>
  <si>
    <t>GUACAMAYAS_VI37</t>
  </si>
  <si>
    <t>2/0 AWG AAAC MONOPOLAR DESNUDO</t>
  </si>
  <si>
    <t>I00320JLVK1a/1C36bSURLAM</t>
  </si>
  <si>
    <t>I00420JLVK1C36d/36fSURLAM</t>
  </si>
  <si>
    <t>I00520JLVK1/K1ESTEC36fSURLAM</t>
  </si>
  <si>
    <t>I00620JLVK1/K1ESTEC36hSURLAM</t>
  </si>
  <si>
    <t>I00720JLVK1/K2aESTEC36iSURLAM</t>
  </si>
  <si>
    <t>I00820JLVK2a/3ESTEC37aSURLAM</t>
  </si>
  <si>
    <t>I00920JLVHLVLAM</t>
  </si>
  <si>
    <t>I01020JLVK3/3aESTEC39SURLAM</t>
  </si>
  <si>
    <t>I011LVAMK4ESTEC40a/41SURLAM</t>
  </si>
  <si>
    <t>I012LVAMK8ESTEC41a/42SURLAM</t>
  </si>
  <si>
    <t>I013LVAMK10BIS/10aESTEC42SURLAM</t>
  </si>
  <si>
    <t>I014LVAMK11ESTEC42/42aSURLAM</t>
  </si>
  <si>
    <t>ACUEDUCTO_VI12R</t>
  </si>
  <si>
    <t>I015LVAMK11/11bBISESTEC42aSURLAM</t>
  </si>
  <si>
    <t>I016LVAMK12ESTEC42a/43SURLAM</t>
  </si>
  <si>
    <t>I017LVAMK12aESTEC42a/43SURLAM</t>
  </si>
  <si>
    <t>I00120JLVK2/2aC31cSURLAZ</t>
  </si>
  <si>
    <t>2/0ACSR DESNUDO</t>
  </si>
  <si>
    <t>I00220JLVK2C31c/31dSURLAZ</t>
  </si>
  <si>
    <t>4 AL DESNUDO</t>
  </si>
  <si>
    <t>I00320JLVK1/1ESTEC35SURLAZ</t>
  </si>
  <si>
    <t>I00420JLVK1/K1ESTEC36fSURLAZ</t>
  </si>
  <si>
    <t>I00520JLVK1/K2aESTEC36iSURLAZ</t>
  </si>
  <si>
    <t>I00620JLVK2a/3ESTEC37aSURLAZ</t>
  </si>
  <si>
    <t>I00720JLVK3/3aESTEC39SURLAZ</t>
  </si>
  <si>
    <t>I008LVAMK4ESTEC40a/41SURLAZ</t>
  </si>
  <si>
    <t>I009LVAMK10ESTEC40b/41aSURLAZ</t>
  </si>
  <si>
    <t>I010LVAMK11ESTEDG40/40aSURLAZ</t>
  </si>
  <si>
    <t>ACUEDUCTO_VI12R
LOS_ALPES_VI16</t>
  </si>
  <si>
    <t>4/0 ACSR DESNUDO
2/0 AL DESNUDO</t>
  </si>
  <si>
    <t>I011LVAMK31bESTEC41a/42SURLAZ</t>
  </si>
  <si>
    <t>EL_ZUQUE_VI27</t>
  </si>
  <si>
    <t>I012LVAMK31bESTEC41bSURLAZ</t>
  </si>
  <si>
    <t>EL PARAISO VI12</t>
  </si>
  <si>
    <t>4/0 AAAC MONOPOLAR</t>
  </si>
  <si>
    <t>125mms2AAAC MONOPOLAR SEMIAISLADO 15kV</t>
  </si>
  <si>
    <t>JUAN_REY_VI25</t>
  </si>
  <si>
    <t>VALOR PROMEDIO METRO LINEAL SOLUCIÓN SOTERRADO :</t>
  </si>
  <si>
    <t>VALOR PROMEDIO SOLUCIÓN SOTERRADO :</t>
  </si>
  <si>
    <t xml:space="preserve">LONGITUD  PROMEDIO SOLUCIÓN SOTERRADO EN METROS: </t>
  </si>
  <si>
    <t>2 X 2  + 2</t>
  </si>
  <si>
    <t>PRECIO DE MERCADO</t>
  </si>
  <si>
    <t>FORMAS ELECTRICAS SAS 2021</t>
  </si>
  <si>
    <t>DEMOLICION PLACA MACIZA H= 0.15 (INC. RETIRO DE SOBR.)</t>
  </si>
  <si>
    <t>Luminaria Led SYLVANIA Street Light 120W Nw Zd216</t>
  </si>
  <si>
    <t>NO incluye el templete - esta en item separado</t>
  </si>
  <si>
    <t>PRECIO MERCADO</t>
  </si>
  <si>
    <t>1,5m largo x 0,1m espesor x 1,0 brecha y sobreancho</t>
  </si>
  <si>
    <t>Bajante para acometida IMC 1 D= 6" , Capacete, cinta band it, curva PVC, (Incluye apertura de zanja para instalación de curva y tubería galvanizada, resane y retiro de escombros). Suministro e instalación.</t>
  </si>
  <si>
    <t xml:space="preserve">este item no se está utilizando </t>
  </si>
  <si>
    <t>Desmonte y entrega de materiales estructura MT 11,4kV  a ENEL</t>
  </si>
  <si>
    <t>RETIRO DE RED SUBTERRÁNEA XLPE 15KV (INCLUYE TRANSPORTE Y DISPOSICIÓN DE SOBRANTES)</t>
  </si>
  <si>
    <t>INCLUYE HERRAJES Y PROTECCIONES</t>
  </si>
  <si>
    <t>TRASNPORTE DE POSTE</t>
  </si>
  <si>
    <t>HUECO Y PLOMADA</t>
  </si>
  <si>
    <t>IZADA DE POSTE</t>
  </si>
  <si>
    <t>ITEM ENEL</t>
  </si>
  <si>
    <t>TRANSPORTE POSTE AUXILIAR Y MATERIALES</t>
  </si>
  <si>
    <t>HUECO, PLOMADA POSTE AUXILIAR Y MANO OBRA TEMPLETE</t>
  </si>
  <si>
    <t>MANO DE OBRA TEMPLETE</t>
  </si>
  <si>
    <t xml:space="preserve">Traslado estructura MT 11,4kV </t>
  </si>
  <si>
    <t>TRASLADO RED AÉREA (INCLUYE TRANSPORTE Y DISPOSICIÓN DE SOBRANTES)</t>
  </si>
  <si>
    <t>RETIRO DE RED AÉREA BT (INCLUYE TRANSPORTE Y DISPOSICIÓN DE SOBRANTES)</t>
  </si>
  <si>
    <t>TRANSPORTE POSTE Y MATERIALES</t>
  </si>
  <si>
    <t>HUECO PLOMADA POSTE VESTIDA LUMINARIA</t>
  </si>
  <si>
    <t>DESMONTE DE LUMINARIA DE 70 W</t>
  </si>
  <si>
    <t>ITEM APU CODENSA</t>
  </si>
  <si>
    <t>TRANSPORTE POSTE</t>
  </si>
  <si>
    <t>HUECO E IZADA POSTE</t>
  </si>
  <si>
    <t>NEXANS 2020</t>
  </si>
  <si>
    <t>NOTA: VALORES EN COSTOS DIRECTOS</t>
  </si>
  <si>
    <t>Valor  Alternativa 1</t>
  </si>
  <si>
    <t>Valor  Alternativa 2</t>
  </si>
  <si>
    <t>Valor  Alternativa 3</t>
  </si>
  <si>
    <t>Valor  Alternativa 4</t>
  </si>
  <si>
    <t>Valor  Alternativa 5</t>
  </si>
  <si>
    <t>Longitud Soterrado  en  ml</t>
  </si>
  <si>
    <t>CANTIDAD DE INTERFERENCIAS DEL RECORRIDO</t>
  </si>
  <si>
    <t>precio IDU</t>
  </si>
  <si>
    <t>recámaras cada 40 metros</t>
  </si>
  <si>
    <t>No incluye poste</t>
  </si>
  <si>
    <t>no incluye poste</t>
  </si>
  <si>
    <t xml:space="preserve">luminaria led </t>
  </si>
  <si>
    <t>no incluye luminaria</t>
  </si>
  <si>
    <t>solo instalación - precio similar al desmonte IDU</t>
  </si>
  <si>
    <t>IDU 2020</t>
  </si>
  <si>
    <t>IDU 2021</t>
  </si>
  <si>
    <t xml:space="preserve">FUENTE </t>
  </si>
  <si>
    <t>DESCRIPCION PROVEEDOR/FUENTE</t>
  </si>
  <si>
    <t>tarifa plena IDU año 2021</t>
  </si>
  <si>
    <t>por horas no laboradas- lluvia- consignación de redes</t>
  </si>
  <si>
    <t>PRESTACIONES /verif</t>
  </si>
  <si>
    <t xml:space="preserve">CAJA </t>
  </si>
  <si>
    <t>Nueva Estación Intermedia</t>
  </si>
  <si>
    <t xml:space="preserve">PRESUPUESTO MODIFICACIÓN DE REDES SECAS SECTOR ESTACIÓN LA VICTORIA </t>
  </si>
  <si>
    <t>MEMORIA LOCALIZACIÓN / CANTIDADES</t>
  </si>
  <si>
    <t>revisar codigo No dirección urbana disponible</t>
  </si>
  <si>
    <t>ESTACION INICIO</t>
  </si>
  <si>
    <t xml:space="preserve">ESTACION LLEGADA </t>
  </si>
  <si>
    <t>La Victoria</t>
  </si>
  <si>
    <t>20 de Julio Alternativa  6</t>
  </si>
  <si>
    <t>20 de Julio Alternativa  1</t>
  </si>
  <si>
    <t>20 de Julio Alternativa  4</t>
  </si>
  <si>
    <t>Altamira Alternativa 2</t>
  </si>
  <si>
    <t>Altamira Alternativa 3</t>
  </si>
  <si>
    <t>Altamira Alternativa 5</t>
  </si>
  <si>
    <t>||</t>
  </si>
  <si>
    <t>REDES BT</t>
  </si>
  <si>
    <t>SUBTOTAL  REDES ALUMBRADO PUBLICO</t>
  </si>
  <si>
    <t>Precio promedio por metro</t>
  </si>
  <si>
    <t>Longitud en metros</t>
  </si>
  <si>
    <t>INCLUYE LUMINARIA LED</t>
  </si>
  <si>
    <t>LA320- Apoyo circuito secundario sencillo en conductor trenzado, Incluye luminaria LED</t>
  </si>
  <si>
    <t>NO incluye el desmonte de luminarias, esta actividad en redes AP</t>
  </si>
  <si>
    <t>Todos los apoyos BT sin luminarias, esta actividad en redes AP</t>
  </si>
  <si>
    <t>Luminaria Led SYLVANIA Street Light 120W Nw Zd216, incluye brazo metálico, fotocontrol, cable</t>
  </si>
  <si>
    <t>Desmonte y entrega redes comunicaciones diferentes tipos</t>
  </si>
  <si>
    <t>REDES TELEMÁTICAS</t>
  </si>
  <si>
    <t>Desmonte y entrega de redes de comunicaciones - el ITEM incluye todos los cables aéreos existentes por metro lineal,  incluyendo cables telefónicos tipo exterior diferente número de pares, fibra óptica, cables concéntricos, incluye desmonte de acometidas telefónicas y televisión a usuarios. No incluye desmonte y  entrega de Postes</t>
  </si>
  <si>
    <t>SUBTOTAL  REDES TELEMÁTICAS</t>
  </si>
  <si>
    <t xml:space="preserve">Precio promediometro </t>
  </si>
  <si>
    <t>CASA</t>
  </si>
  <si>
    <t>I001LVJRTR3cBISESTEC42bSURLAM</t>
  </si>
  <si>
    <t>I002LVJRK6/6aESTEC43bSURLAM</t>
  </si>
  <si>
    <t>I003LVJRK6/6aESTEDG44SURLAM</t>
  </si>
  <si>
    <t>I004LVJRK6/6aESTEDG45SURLAM</t>
  </si>
  <si>
    <t>I005LVJRDG50a/51SURTR10ESTELAM</t>
  </si>
  <si>
    <t>I006DG51aSURTR10K11ESTELAM</t>
  </si>
  <si>
    <t>I007K12ESTEC56SURLAM</t>
  </si>
  <si>
    <t>NOTA: INTERFERENCIAS ENTRE LA VICTORIA PROPUESTA 1 Y JUAN REY PROPUESTA 1</t>
  </si>
  <si>
    <t>NOTA: INTERFERENCIAS ENTRE JUAN REY PROPUESTA 1 Y JUAN REY PROPUESTA 2</t>
  </si>
  <si>
    <t>Desmonte y entrega red aérea BT cable trenzado diferentes calibres, incluye desmonte apoyos diferentes tipos</t>
  </si>
  <si>
    <t>SUBTOTAL  REDES BT</t>
  </si>
  <si>
    <t xml:space="preserve">CALCULO DE INDICADOS PARA DESMONTE DE REDES BT </t>
  </si>
  <si>
    <t xml:space="preserve">CALCULO DE INDICADOS PARA REPOSICIÓN DE REDES BT </t>
  </si>
  <si>
    <t>DESMONTE REDES ALUMBRADO PUBLICO</t>
  </si>
  <si>
    <t>incluye brazo, herrajes, fotocontrol</t>
  </si>
  <si>
    <t>Desmonte y entrega de redes telemáticas, incluye todos los cables aéreos existentes por metro lineal: cables telefónicos diferente número de pares, fibra óptica, cables concéntricos, desmonte acometidas teléfono y TV usuarios, No incluye postes.</t>
  </si>
  <si>
    <t>Instalación  de redes Eletricas  BT, incluye Postes, apoyos, portaborneras, conectores, cables.</t>
  </si>
  <si>
    <t xml:space="preserve">Desmonte  y entrega  de luminaria existente diferentes potencias . No incluye desmonte de postes </t>
  </si>
  <si>
    <t xml:space="preserve">Desmonte y entrega  de redes Eléctricas  BT existentes, incluye postes, apoyos, portaborneras, conectores, cables </t>
  </si>
  <si>
    <t>Instalación de luminaria LED  120w, incluye soporte, fotocontrol, cables. No incluye poste.</t>
  </si>
  <si>
    <t>REDES BAJA TENSIÓN - ALUMBRADO PUBLICO - TELEMÁTICAS</t>
  </si>
  <si>
    <t>ESTACIÓN LA VICTORIA</t>
  </si>
  <si>
    <t>ESTACIÓN ALTAMIRA ALTERNATIVA 2</t>
  </si>
  <si>
    <t>ESTACIÓN ALTAMIRA ALTERNATIVA 3</t>
  </si>
  <si>
    <t>PRESUPUESTO MODIFICACIÓN DE REDES SECAS SECTOR ESTACIÓN JUAN REY ALTERNATIVA 1</t>
  </si>
  <si>
    <t>ESTACIÓN JUAN REY ALTERNATIVA 1</t>
  </si>
  <si>
    <t>ESTACIÓN ALTAMIRA ALTERNATIVA 5</t>
  </si>
  <si>
    <t>PRESUPUESTO MODIFICACIÓN DE REDES SECAS SECTOR ESTACIÓN JUAN REY ALTERNATIVA 2</t>
  </si>
  <si>
    <t>ESTACIÓN JUAN REY ALTERNATIVA 2</t>
  </si>
  <si>
    <t>PRESUPUESTO MODIFICACIÓN DE REDES SECAS SECTOR ESTACIÓN JUAN REY ALTERNATIVA 3</t>
  </si>
  <si>
    <t>ESTACIÓN JUAN REY ALTERNATIVA 3</t>
  </si>
  <si>
    <t>3 en carrera 13 este + 1 en calle 60B sur</t>
  </si>
  <si>
    <t xml:space="preserve">2 en carrera 13 este </t>
  </si>
  <si>
    <t>40  en carrera 13 este + 20 en calle 60B sur</t>
  </si>
  <si>
    <t xml:space="preserve">5 en carrera 13 este </t>
  </si>
  <si>
    <t>65 + 48 de 4 bajantes + de reserva en 4 reámaras</t>
  </si>
  <si>
    <t>2 en carrera 13 este</t>
  </si>
  <si>
    <t>1 en carrera 13 este + 1 en calle 60B sur</t>
  </si>
  <si>
    <t xml:space="preserve"> 40 en carrera 13 este + 20  en calle 60B sur</t>
  </si>
  <si>
    <t>2  en carrera 13 este + 1 en calle 60B sur</t>
  </si>
  <si>
    <t>ESTA LOCALIZACIÓN NO PRESENTA INTERFERENCIAS CON REDES MT 11,4kV</t>
  </si>
  <si>
    <t>RECORRIDO ESTACION 20 DE JULIO ALTERNATIVA 6  - LA VICTORIA</t>
  </si>
  <si>
    <t>RECORRIDO ESTACION LA VICTORIA - ALTAMIRA ALTERNATIVA 2</t>
  </si>
  <si>
    <t xml:space="preserve">RECORRIDO ESTACION 20 DE JULIO ALTERNATIVA 1  - LA VICTORIA </t>
  </si>
  <si>
    <t>RECORRIDO  NUEVA ESTACIÓN INTERMEDIA - JUAN REY ALTERNATIVA 1</t>
  </si>
  <si>
    <t>RECORRIDO  NUEVA ESTACIÓN INTERMEDIA - JUAN REY ALTERNATIVA 2</t>
  </si>
  <si>
    <t>RECORRIDO  NUEVA ESTACIÓN INTERMEDIA - JUAN REY ALTERNATIVA 3</t>
  </si>
  <si>
    <t>RECORRIDO ESTACION  LA VICTORIA - ALTAMIRA ALTERNATIVA 3</t>
  </si>
  <si>
    <t>RECORRIDO ESTACION 20 DE JULIO ALTERNATIVA 4 - LA VICTORIA</t>
  </si>
  <si>
    <t>RECORRIDO ESTACION  LA VICTORIA -ALTAMIRA ALTERNATIVA 5</t>
  </si>
  <si>
    <t>Juan Rey Alternativa 1</t>
  </si>
  <si>
    <t>Juan Rey Alternativa 2</t>
  </si>
  <si>
    <t>Juan Rey Alternativa 3</t>
  </si>
  <si>
    <t>TRAMO 1 : 20 DE JULIO - LA VICTORIA</t>
  </si>
  <si>
    <t>CRITERIO</t>
  </si>
  <si>
    <t>CALIFICACIÓN</t>
  </si>
  <si>
    <t>ESTACION TRANSFERENCIA</t>
  </si>
  <si>
    <t xml:space="preserve">Interferencia redes MT 11,4kV </t>
  </si>
  <si>
    <t>TRAZADO</t>
  </si>
  <si>
    <t>ESTACION LLEGADA</t>
  </si>
  <si>
    <t>ESTACION INTERMEDIA</t>
  </si>
  <si>
    <t>TRAMO 2 :  LA VICTORIA - ALTAMIRA</t>
  </si>
  <si>
    <t>ESTACION RETORNO</t>
  </si>
  <si>
    <t xml:space="preserve">TRAMO 3  JUAN REY : </t>
  </si>
  <si>
    <t>NUEVA ESTACION INTERMEDIA - JUAN REY</t>
  </si>
  <si>
    <t xml:space="preserve">TRAMO JUAN REY : </t>
  </si>
  <si>
    <t>Interferencia redes AT 115kV</t>
  </si>
  <si>
    <t>PRESUPUESTO SOTERRADO REDES INTERFERENCIAS CON REDES MT 11,4kV</t>
  </si>
  <si>
    <t>LONGITUD SOTERRADO</t>
  </si>
  <si>
    <t>VALOR SOTERRADO</t>
  </si>
  <si>
    <t>VALOR TOTAL</t>
  </si>
  <si>
    <t>TRAMO 1 : 20 DE JULIO ALTERNATIVA 1 - LA VICTORIA</t>
  </si>
  <si>
    <t>TRAMO 1 : 20 DE JULIO ALTERNATIVA 4 - LA VICTORIA</t>
  </si>
  <si>
    <t xml:space="preserve">LONGITUD  TOTAL SOTERRADO EN EL RECORRIDO: </t>
  </si>
  <si>
    <t>CANTIDAD DE INTERFERENCIAS DEL RECORRIDO:</t>
  </si>
  <si>
    <t>TRAMO 1 : 20 DE JULIO ALTERNATIVA 6 - LA VICTORIA</t>
  </si>
  <si>
    <t>TRAMO 2 : LA VICTORIA - ALTAMIRA ALTERNATIVA 3</t>
  </si>
  <si>
    <t>TRAMO 2 : LA VICTORIA-ALTAMIRA ALTERNATIVA 2</t>
  </si>
  <si>
    <t>TRAMO 2 : LA VICTORIA - ALTAMIRA ALTERNATIVA 5</t>
  </si>
  <si>
    <t>TRAMO 3 : NUEVA ESTACION INTERMEDIA - JUAN REY ALTERNATIVA 1</t>
  </si>
  <si>
    <t>TRAMO 3 : NUEVA ESTACION INTERMEDIA - JUAN REY ALTERNATIVA 2</t>
  </si>
  <si>
    <t>TRAMO 3 : NUEVA ESTACION INTERMEDIA - JUAN REY ALTERNATIVA 3</t>
  </si>
  <si>
    <t>20 de Julio Alternativa 4</t>
  </si>
  <si>
    <t>20 de Julio Alternativa 6</t>
  </si>
  <si>
    <t>20 de Julio Alternativa 1</t>
  </si>
  <si>
    <t>TRAMO 2 : LA VICTORIA - ALTAMIRA</t>
  </si>
  <si>
    <t>TRAMO 3 : NUEVA ESTACION INTERMEDIA - JUAN REY</t>
  </si>
  <si>
    <t>PRESUPUESTO PRELIMINAR PARA SOLUCIÓN INTERFERENCIA DOBLE CIRCUITO 115kV</t>
  </si>
  <si>
    <t>LINEAS AÉREAS</t>
  </si>
  <si>
    <t>Desmonte línea 115kV existente doble circuito</t>
  </si>
  <si>
    <t>km</t>
  </si>
  <si>
    <t>Línea aérea 115kV incuye material, izaje y postes circuito doble</t>
  </si>
  <si>
    <t>Poste retención 30/35 metros incluye instalación</t>
  </si>
  <si>
    <t>OTRAS LABORES</t>
  </si>
  <si>
    <t>Estudios, diseños, planeación e ingeniería de detalle (precio tomado del presupuesto para una interferencia  de  500 m doble circuito 115kV - solución aérea interferencia No.5 proyecto Metro Bogotá)</t>
  </si>
  <si>
    <t>Aseguramiento de la calidad ténica, planes, trámites y pólizas (precio tomado del presupuesto para una interferencia  de  500 m doble circuito 115kV - solución aérea interferencia No.5 proyecto Metro Bogotá)</t>
  </si>
  <si>
    <t>SUBTOTAL</t>
  </si>
  <si>
    <t xml:space="preserve">IVA </t>
  </si>
  <si>
    <t>PARAMETROS DE ENTRADA PARA EL DISEÑO CONCEPTUAL :</t>
  </si>
  <si>
    <r>
      <rPr>
        <b/>
        <sz val="11"/>
        <color theme="1"/>
        <rFont val="Calibri"/>
        <family val="2"/>
        <scheme val="minor"/>
      </rPr>
      <t>Sitios exactos de las interferencias:</t>
    </r>
    <r>
      <rPr>
        <sz val="11"/>
        <color theme="1"/>
        <rFont val="Arial"/>
        <family val="2"/>
      </rPr>
      <t xml:space="preserve"> con este dato se determinan los puntos de los nuevos apoyos, para verificar disponibilidad de sitio para la implanatación y las distancias de seguidad.</t>
    </r>
  </si>
  <si>
    <r>
      <rPr>
        <b/>
        <sz val="11"/>
        <color theme="1"/>
        <rFont val="Calibri"/>
        <family val="2"/>
        <scheme val="minor"/>
      </rPr>
      <t>Galibo del sistema Cable:</t>
    </r>
    <r>
      <rPr>
        <sz val="11"/>
        <color theme="1"/>
        <rFont val="Arial"/>
        <family val="2"/>
      </rPr>
      <t xml:space="preserve"> Permite conocer la altura de realce de las líneas y por ende la altura de los nuevos apoyos.</t>
    </r>
  </si>
  <si>
    <t>metros</t>
  </si>
  <si>
    <t>Total Juan Rey Alternativa 1</t>
  </si>
  <si>
    <t>Total Juan Rey Alternativa 2</t>
  </si>
  <si>
    <t>Total Juan Rey Alternativa 3</t>
  </si>
  <si>
    <t>Gestoria de movimiento de lineas aereas de doble circuito de 115 Kva por parte de la ENEL (supuesto por permisos y gestión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</si>
</sst>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###,###"/>
    <numFmt numFmtId="166" formatCode="0.0000"/>
    <numFmt numFmtId="167" formatCode="0.0"/>
    <numFmt numFmtId="168" formatCode="0.00000"/>
    <numFmt numFmtId="169" formatCode="0.000"/>
    <numFmt numFmtId="170" formatCode="0.000000"/>
    <numFmt numFmtId="171" formatCode="0.0000000"/>
    <numFmt numFmtId="172" formatCode="#,##0.00\ ;\-#,##0.00\ ;&quot; -&quot;#\ ;@\ "/>
    <numFmt numFmtId="173" formatCode="&quot;$ &quot;#,##0.00"/>
    <numFmt numFmtId="174" formatCode="_-* #,##0_-;\-* #,##0_-;_-* &quot;-&quot;??_-;_-@_-"/>
    <numFmt numFmtId="175" formatCode="_-&quot;$&quot;\ * #,##0_-;\-&quot;$&quot;\ * #,##0_-;_-&quot;$&quot;\ * &quot;-&quot;??_-;_-@_-"/>
    <numFmt numFmtId="176" formatCode="#,##0.0000"/>
    <numFmt numFmtId="177" formatCode="#,##0_ ;\-#,##0\ "/>
  </numFmts>
  <fonts count="5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0"/>
      <color indexed="19"/>
      <name val="Arial Narrow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맑은 고딕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8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 Narrow"/>
      <family val="2"/>
    </font>
    <font>
      <sz val="11"/>
      <color theme="3"/>
      <name val="Maiandra GD"/>
      <family val="2"/>
    </font>
    <font>
      <sz val="12"/>
      <color theme="3"/>
      <name val="Maiandra GD"/>
      <family val="2"/>
    </font>
    <font>
      <sz val="9"/>
      <color theme="1"/>
      <name val="Arial"/>
      <family val="2"/>
    </font>
    <font>
      <sz val="10"/>
      <color theme="3"/>
      <name val="Maiandra GD"/>
      <family val="2"/>
    </font>
    <font>
      <sz val="10"/>
      <color theme="1"/>
      <name val="Maiandra GD"/>
      <family val="2"/>
    </font>
    <font>
      <sz val="8"/>
      <color rgb="FF00000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2" fillId="0" borderId="0"/>
    <xf numFmtId="0" fontId="10" fillId="0" borderId="0"/>
    <xf numFmtId="0" fontId="1" fillId="0" borderId="0"/>
    <xf numFmtId="0" fontId="16" fillId="0" borderId="0"/>
    <xf numFmtId="43" fontId="10" fillId="0" borderId="0" applyFont="0" applyFill="0" applyBorder="0" applyAlignment="0" applyProtection="0"/>
    <xf numFmtId="0" fontId="4" fillId="0" borderId="0"/>
    <xf numFmtId="172" fontId="2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06">
    <xf numFmtId="0" fontId="0" fillId="0" borderId="0" xfId="0"/>
    <xf numFmtId="0" fontId="3" fillId="2" borderId="1" xfId="0" applyNumberFormat="1" applyFont="1" applyFill="1" applyBorder="1" applyAlignment="1" applyProtection="1">
      <alignment horizontal="center"/>
    </xf>
    <xf numFmtId="0" fontId="3" fillId="2" borderId="1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2" fontId="4" fillId="3" borderId="1" xfId="0" applyNumberFormat="1" applyFont="1" applyFill="1" applyBorder="1" applyAlignment="1" applyProtection="1">
      <alignment horizontal="center"/>
    </xf>
    <xf numFmtId="0" fontId="5" fillId="3" borderId="1" xfId="0" applyNumberFormat="1" applyFont="1" applyFill="1" applyBorder="1" applyAlignment="1" applyProtection="1"/>
    <xf numFmtId="0" fontId="5" fillId="3" borderId="1" xfId="0" applyNumberFormat="1" applyFont="1" applyFill="1" applyBorder="1" applyAlignment="1" applyProtection="1">
      <alignment horizontal="center" vertical="distributed"/>
    </xf>
    <xf numFmtId="3" fontId="5" fillId="3" borderId="1" xfId="0" applyNumberFormat="1" applyFont="1" applyFill="1" applyBorder="1" applyAlignment="1" applyProtection="1"/>
    <xf numFmtId="3" fontId="4" fillId="3" borderId="1" xfId="0" applyNumberFormat="1" applyFont="1" applyFill="1" applyBorder="1" applyAlignment="1" applyProtection="1"/>
    <xf numFmtId="0" fontId="5" fillId="3" borderId="1" xfId="0" applyNumberFormat="1" applyFont="1" applyFill="1" applyBorder="1" applyAlignment="1" applyProtection="1">
      <alignment vertical="distributed"/>
    </xf>
    <xf numFmtId="3" fontId="5" fillId="3" borderId="1" xfId="0" applyNumberFormat="1" applyFont="1" applyFill="1" applyBorder="1" applyAlignment="1" applyProtection="1">
      <alignment vertical="distributed"/>
    </xf>
    <xf numFmtId="0" fontId="4" fillId="0" borderId="0" xfId="0" applyNumberFormat="1" applyFont="1" applyFill="1" applyBorder="1" applyAlignment="1" applyProtection="1">
      <alignment vertical="distributed"/>
    </xf>
    <xf numFmtId="0" fontId="5" fillId="3" borderId="0" xfId="0" applyNumberFormat="1" applyFont="1" applyFill="1" applyBorder="1" applyAlignment="1" applyProtection="1">
      <alignment horizontal="center"/>
    </xf>
    <xf numFmtId="0" fontId="3" fillId="2" borderId="2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>
      <alignment horizontal="center"/>
    </xf>
    <xf numFmtId="3" fontId="5" fillId="2" borderId="3" xfId="0" applyNumberFormat="1" applyFont="1" applyFill="1" applyBorder="1" applyAlignment="1" applyProtection="1"/>
    <xf numFmtId="0" fontId="5" fillId="2" borderId="4" xfId="0" applyNumberFormat="1" applyFont="1" applyFill="1" applyBorder="1" applyAlignment="1" applyProtection="1"/>
    <xf numFmtId="3" fontId="3" fillId="2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distributed"/>
    </xf>
    <xf numFmtId="0" fontId="5" fillId="3" borderId="0" xfId="0" applyNumberFormat="1" applyFont="1" applyFill="1" applyBorder="1" applyAlignment="1" applyProtection="1">
      <alignment vertical="distributed"/>
    </xf>
    <xf numFmtId="0" fontId="5" fillId="3" borderId="0" xfId="0" applyNumberFormat="1" applyFont="1" applyFill="1" applyBorder="1" applyAlignment="1" applyProtection="1">
      <alignment horizontal="center" vertical="distributed"/>
    </xf>
    <xf numFmtId="3" fontId="5" fillId="3" borderId="0" xfId="0" applyNumberFormat="1" applyFont="1" applyFill="1" applyBorder="1" applyAlignment="1" applyProtection="1">
      <alignment vertical="distributed"/>
    </xf>
    <xf numFmtId="165" fontId="5" fillId="3" borderId="0" xfId="0" applyNumberFormat="1" applyFont="1" applyFill="1" applyBorder="1" applyAlignment="1" applyProtection="1">
      <alignment vertical="distributed"/>
    </xf>
    <xf numFmtId="0" fontId="3" fillId="4" borderId="1" xfId="0" applyNumberFormat="1" applyFont="1" applyFill="1" applyBorder="1" applyAlignment="1" applyProtection="1">
      <alignment horizontal="center"/>
    </xf>
    <xf numFmtId="0" fontId="3" fillId="4" borderId="1" xfId="0" applyNumberFormat="1" applyFont="1" applyFill="1" applyBorder="1" applyAlignment="1" applyProtection="1"/>
    <xf numFmtId="3" fontId="3" fillId="4" borderId="1" xfId="0" applyNumberFormat="1" applyFont="1" applyFill="1" applyBorder="1" applyAlignment="1" applyProtection="1">
      <alignment horizontal="center"/>
    </xf>
    <xf numFmtId="0" fontId="5" fillId="3" borderId="1" xfId="0" applyNumberFormat="1" applyFont="1" applyFill="1" applyBorder="1" applyAlignment="1" applyProtection="1">
      <alignment horizontal="center"/>
    </xf>
    <xf numFmtId="3" fontId="5" fillId="3" borderId="1" xfId="0" applyNumberFormat="1" applyFont="1" applyFill="1" applyBorder="1" applyAlignment="1" applyProtection="1">
      <alignment horizontal="right"/>
    </xf>
    <xf numFmtId="0" fontId="4" fillId="3" borderId="1" xfId="0" applyNumberFormat="1" applyFont="1" applyFill="1" applyBorder="1" applyAlignment="1" applyProtection="1"/>
    <xf numFmtId="0" fontId="4" fillId="3" borderId="1" xfId="0" applyNumberFormat="1" applyFont="1" applyFill="1" applyBorder="1" applyAlignment="1" applyProtection="1">
      <alignment horizontal="center"/>
    </xf>
    <xf numFmtId="3" fontId="4" fillId="3" borderId="1" xfId="0" applyNumberFormat="1" applyFont="1" applyFill="1" applyBorder="1" applyAlignment="1" applyProtection="1">
      <alignment horizontal="right"/>
    </xf>
    <xf numFmtId="0" fontId="4" fillId="3" borderId="1" xfId="0" applyNumberFormat="1" applyFont="1" applyFill="1" applyBorder="1" applyAlignment="1" applyProtection="1">
      <alignment vertical="distributed" wrapText="1"/>
    </xf>
    <xf numFmtId="0" fontId="4" fillId="3" borderId="1" xfId="0" applyNumberFormat="1" applyFont="1" applyFill="1" applyBorder="1" applyAlignment="1" applyProtection="1">
      <alignment horizontal="center" vertical="distributed" wrapText="1"/>
    </xf>
    <xf numFmtId="3" fontId="4" fillId="3" borderId="1" xfId="0" applyNumberFormat="1" applyFont="1" applyFill="1" applyBorder="1" applyAlignment="1" applyProtection="1">
      <alignment horizontal="right" vertical="distributed" wrapText="1"/>
    </xf>
    <xf numFmtId="0" fontId="4" fillId="0" borderId="0" xfId="0" applyNumberFormat="1" applyFont="1" applyFill="1" applyBorder="1" applyAlignment="1" applyProtection="1">
      <alignment vertical="distributed" wrapText="1"/>
    </xf>
    <xf numFmtId="0" fontId="3" fillId="4" borderId="2" xfId="0" applyNumberFormat="1" applyFont="1" applyFill="1" applyBorder="1" applyAlignment="1" applyProtection="1"/>
    <xf numFmtId="0" fontId="5" fillId="4" borderId="3" xfId="0" applyNumberFormat="1" applyFont="1" applyFill="1" applyBorder="1" applyAlignment="1" applyProtection="1">
      <alignment horizontal="center"/>
    </xf>
    <xf numFmtId="3" fontId="5" fillId="4" borderId="3" xfId="0" applyNumberFormat="1" applyFont="1" applyFill="1" applyBorder="1" applyAlignment="1" applyProtection="1"/>
    <xf numFmtId="0" fontId="5" fillId="4" borderId="4" xfId="0" applyNumberFormat="1" applyFont="1" applyFill="1" applyBorder="1" applyAlignment="1" applyProtection="1"/>
    <xf numFmtId="3" fontId="3" fillId="4" borderId="5" xfId="0" applyNumberFormat="1" applyFont="1" applyFill="1" applyBorder="1" applyAlignment="1" applyProtection="1"/>
    <xf numFmtId="0" fontId="4" fillId="3" borderId="1" xfId="0" applyNumberFormat="1" applyFont="1" applyFill="1" applyBorder="1" applyAlignment="1" applyProtection="1">
      <alignment horizontal="center" vertical="distributed"/>
    </xf>
    <xf numFmtId="3" fontId="4" fillId="3" borderId="1" xfId="0" applyNumberFormat="1" applyFont="1" applyFill="1" applyBorder="1" applyAlignment="1" applyProtection="1">
      <alignment vertical="distributed"/>
    </xf>
    <xf numFmtId="3" fontId="4" fillId="3" borderId="1" xfId="0" applyNumberFormat="1" applyFont="1" applyFill="1" applyBorder="1" applyAlignment="1" applyProtection="1">
      <alignment vertical="distributed" wrapText="1"/>
    </xf>
    <xf numFmtId="3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9" fontId="6" fillId="5" borderId="1" xfId="0" applyNumberFormat="1" applyFont="1" applyFill="1" applyBorder="1" applyAlignment="1" applyProtection="1"/>
    <xf numFmtId="3" fontId="6" fillId="5" borderId="1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center"/>
    </xf>
    <xf numFmtId="3" fontId="4" fillId="3" borderId="0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/>
    <xf numFmtId="0" fontId="7" fillId="3" borderId="10" xfId="0" applyNumberFormat="1" applyFont="1" applyFill="1" applyBorder="1" applyAlignment="1" applyProtection="1"/>
    <xf numFmtId="0" fontId="4" fillId="3" borderId="11" xfId="0" applyNumberFormat="1" applyFont="1" applyFill="1" applyBorder="1" applyAlignment="1" applyProtection="1">
      <alignment horizontal="center"/>
    </xf>
    <xf numFmtId="3" fontId="4" fillId="3" borderId="11" xfId="0" applyNumberFormat="1" applyFont="1" applyFill="1" applyBorder="1" applyAlignment="1" applyProtection="1"/>
    <xf numFmtId="0" fontId="4" fillId="3" borderId="11" xfId="0" applyNumberFormat="1" applyFont="1" applyFill="1" applyBorder="1" applyAlignment="1" applyProtection="1"/>
    <xf numFmtId="0" fontId="4" fillId="3" borderId="12" xfId="0" applyNumberFormat="1" applyFont="1" applyFill="1" applyBorder="1" applyAlignment="1" applyProtection="1"/>
    <xf numFmtId="0" fontId="7" fillId="3" borderId="13" xfId="0" applyNumberFormat="1" applyFont="1" applyFill="1" applyBorder="1" applyAlignment="1" applyProtection="1"/>
    <xf numFmtId="0" fontId="4" fillId="3" borderId="14" xfId="0" applyNumberFormat="1" applyFont="1" applyFill="1" applyBorder="1" applyAlignment="1" applyProtection="1"/>
    <xf numFmtId="0" fontId="7" fillId="3" borderId="7" xfId="0" applyNumberFormat="1" applyFont="1" applyFill="1" applyBorder="1" applyAlignment="1" applyProtection="1"/>
    <xf numFmtId="0" fontId="4" fillId="3" borderId="8" xfId="0" applyNumberFormat="1" applyFont="1" applyFill="1" applyBorder="1" applyAlignment="1" applyProtection="1">
      <alignment horizontal="center"/>
    </xf>
    <xf numFmtId="3" fontId="4" fillId="3" borderId="8" xfId="0" applyNumberFormat="1" applyFont="1" applyFill="1" applyBorder="1" applyAlignment="1" applyProtection="1"/>
    <xf numFmtId="0" fontId="4" fillId="3" borderId="8" xfId="0" applyNumberFormat="1" applyFont="1" applyFill="1" applyBorder="1" applyAlignment="1" applyProtection="1"/>
    <xf numFmtId="0" fontId="4" fillId="3" borderId="9" xfId="0" applyNumberFormat="1" applyFont="1" applyFill="1" applyBorder="1" applyAlignment="1" applyProtection="1"/>
    <xf numFmtId="0" fontId="8" fillId="3" borderId="0" xfId="1" applyFont="1" applyFill="1"/>
    <xf numFmtId="0" fontId="4" fillId="3" borderId="0" xfId="1" applyFont="1" applyFill="1"/>
    <xf numFmtId="0" fontId="4" fillId="3" borderId="0" xfId="1" applyFont="1" applyFill="1" applyAlignment="1">
      <alignment horizontal="center"/>
    </xf>
    <xf numFmtId="0" fontId="4" fillId="3" borderId="0" xfId="1" applyFont="1" applyFill="1" applyAlignment="1">
      <alignment horizontal="right"/>
    </xf>
    <xf numFmtId="0" fontId="2" fillId="0" borderId="0" xfId="2"/>
    <xf numFmtId="0" fontId="4" fillId="3" borderId="6" xfId="1" applyFont="1" applyFill="1" applyBorder="1" applyAlignment="1">
      <alignment horizontal="center"/>
    </xf>
    <xf numFmtId="0" fontId="4" fillId="3" borderId="1" xfId="2" applyNumberFormat="1" applyFont="1" applyFill="1" applyBorder="1" applyAlignment="1" applyProtection="1">
      <alignment horizontal="left"/>
    </xf>
    <xf numFmtId="1" fontId="4" fillId="3" borderId="1" xfId="2" applyNumberFormat="1" applyFont="1" applyFill="1" applyBorder="1" applyAlignment="1" applyProtection="1"/>
    <xf numFmtId="0" fontId="4" fillId="3" borderId="1" xfId="2" applyNumberFormat="1" applyFont="1" applyFill="1" applyBorder="1" applyAlignment="1" applyProtection="1">
      <alignment horizontal="center"/>
    </xf>
    <xf numFmtId="3" fontId="4" fillId="3" borderId="1" xfId="2" applyNumberFormat="1" applyFont="1" applyFill="1" applyBorder="1" applyAlignment="1" applyProtection="1"/>
    <xf numFmtId="0" fontId="4" fillId="3" borderId="1" xfId="2" applyNumberFormat="1" applyFont="1" applyFill="1" applyBorder="1" applyAlignment="1" applyProtection="1"/>
    <xf numFmtId="165" fontId="4" fillId="3" borderId="1" xfId="2" applyNumberFormat="1" applyFont="1" applyFill="1" applyBorder="1" applyAlignment="1" applyProtection="1"/>
    <xf numFmtId="166" fontId="4" fillId="3" borderId="1" xfId="2" applyNumberFormat="1" applyFont="1" applyFill="1" applyBorder="1" applyAlignment="1" applyProtection="1"/>
    <xf numFmtId="0" fontId="8" fillId="3" borderId="2" xfId="1" applyFont="1" applyFill="1" applyBorder="1"/>
    <xf numFmtId="3" fontId="8" fillId="3" borderId="1" xfId="2" applyNumberFormat="1" applyFont="1" applyFill="1" applyBorder="1" applyAlignment="1">
      <alignment horizontal="right"/>
    </xf>
    <xf numFmtId="0" fontId="8" fillId="3" borderId="4" xfId="1" applyFont="1" applyFill="1" applyBorder="1" applyAlignment="1">
      <alignment horizontal="center"/>
    </xf>
    <xf numFmtId="2" fontId="9" fillId="3" borderId="1" xfId="2" applyNumberFormat="1" applyFont="1" applyFill="1" applyBorder="1" applyAlignment="1">
      <alignment horizontal="right"/>
    </xf>
    <xf numFmtId="3" fontId="4" fillId="3" borderId="1" xfId="1" applyNumberFormat="1" applyFont="1" applyFill="1" applyBorder="1"/>
    <xf numFmtId="3" fontId="4" fillId="3" borderId="5" xfId="0" applyNumberFormat="1" applyFont="1" applyFill="1" applyBorder="1" applyAlignment="1" applyProtection="1"/>
    <xf numFmtId="1" fontId="4" fillId="3" borderId="1" xfId="0" applyNumberFormat="1" applyFont="1" applyFill="1" applyBorder="1" applyAlignment="1" applyProtection="1"/>
    <xf numFmtId="165" fontId="4" fillId="3" borderId="1" xfId="0" applyNumberFormat="1" applyFont="1" applyFill="1" applyBorder="1" applyAlignment="1" applyProtection="1"/>
    <xf numFmtId="167" fontId="4" fillId="3" borderId="1" xfId="0" applyNumberFormat="1" applyFont="1" applyFill="1" applyBorder="1" applyAlignment="1" applyProtection="1"/>
    <xf numFmtId="3" fontId="8" fillId="3" borderId="1" xfId="0" applyNumberFormat="1" applyFont="1" applyFill="1" applyBorder="1" applyAlignment="1">
      <alignment horizontal="right"/>
    </xf>
    <xf numFmtId="2" fontId="9" fillId="3" borderId="1" xfId="0" applyNumberFormat="1" applyFont="1" applyFill="1" applyBorder="1" applyAlignment="1">
      <alignment horizontal="right"/>
    </xf>
    <xf numFmtId="168" fontId="4" fillId="3" borderId="1" xfId="0" applyNumberFormat="1" applyFont="1" applyFill="1" applyBorder="1" applyAlignment="1" applyProtection="1"/>
    <xf numFmtId="165" fontId="4" fillId="0" borderId="1" xfId="0" applyNumberFormat="1" applyFont="1" applyFill="1" applyBorder="1" applyAlignment="1" applyProtection="1"/>
    <xf numFmtId="2" fontId="4" fillId="3" borderId="1" xfId="0" applyNumberFormat="1" applyFont="1" applyFill="1" applyBorder="1" applyAlignment="1" applyProtection="1"/>
    <xf numFmtId="0" fontId="4" fillId="3" borderId="1" xfId="0" applyNumberFormat="1" applyFont="1" applyFill="1" applyBorder="1" applyAlignment="1" applyProtection="1">
      <alignment horizontal="left"/>
    </xf>
    <xf numFmtId="166" fontId="4" fillId="3" borderId="1" xfId="0" applyNumberFormat="1" applyFont="1" applyFill="1" applyBorder="1" applyAlignment="1" applyProtection="1"/>
    <xf numFmtId="0" fontId="4" fillId="3" borderId="1" xfId="0" applyNumberFormat="1" applyFont="1" applyFill="1" applyBorder="1" applyAlignment="1" applyProtection="1">
      <alignment horizontal="left" vertical="distributed"/>
    </xf>
    <xf numFmtId="1" fontId="4" fillId="3" borderId="1" xfId="0" applyNumberFormat="1" applyFont="1" applyFill="1" applyBorder="1" applyAlignment="1" applyProtection="1">
      <alignment vertical="distributed"/>
    </xf>
    <xf numFmtId="0" fontId="4" fillId="3" borderId="1" xfId="0" applyNumberFormat="1" applyFont="1" applyFill="1" applyBorder="1" applyAlignment="1" applyProtection="1">
      <alignment vertical="distributed"/>
    </xf>
    <xf numFmtId="165" fontId="4" fillId="3" borderId="1" xfId="0" applyNumberFormat="1" applyFont="1" applyFill="1" applyBorder="1" applyAlignment="1" applyProtection="1">
      <alignment vertical="distributed"/>
    </xf>
    <xf numFmtId="169" fontId="4" fillId="3" borderId="1" xfId="0" applyNumberFormat="1" applyFont="1" applyFill="1" applyBorder="1" applyAlignment="1" applyProtection="1"/>
    <xf numFmtId="0" fontId="8" fillId="6" borderId="0" xfId="1" applyFont="1" applyFill="1"/>
    <xf numFmtId="0" fontId="4" fillId="6" borderId="0" xfId="1" applyFont="1" applyFill="1"/>
    <xf numFmtId="0" fontId="4" fillId="6" borderId="0" xfId="1" applyFont="1" applyFill="1" applyAlignment="1">
      <alignment horizontal="center"/>
    </xf>
    <xf numFmtId="0" fontId="4" fillId="6" borderId="0" xfId="1" applyFont="1" applyFill="1" applyAlignment="1">
      <alignment horizontal="right"/>
    </xf>
    <xf numFmtId="0" fontId="4" fillId="6" borderId="6" xfId="1" applyFont="1" applyFill="1" applyBorder="1" applyAlignment="1">
      <alignment horizontal="center"/>
    </xf>
    <xf numFmtId="0" fontId="4" fillId="6" borderId="1" xfId="0" applyNumberFormat="1" applyFont="1" applyFill="1" applyBorder="1" applyAlignment="1" applyProtection="1"/>
    <xf numFmtId="1" fontId="4" fillId="6" borderId="1" xfId="0" applyNumberFormat="1" applyFont="1" applyFill="1" applyBorder="1" applyAlignment="1" applyProtection="1"/>
    <xf numFmtId="0" fontId="4" fillId="6" borderId="1" xfId="0" applyNumberFormat="1" applyFont="1" applyFill="1" applyBorder="1" applyAlignment="1" applyProtection="1">
      <alignment horizontal="center"/>
    </xf>
    <xf numFmtId="3" fontId="4" fillId="6" borderId="1" xfId="0" applyNumberFormat="1" applyFont="1" applyFill="1" applyBorder="1" applyAlignment="1" applyProtection="1"/>
    <xf numFmtId="165" fontId="4" fillId="6" borderId="1" xfId="0" applyNumberFormat="1" applyFont="1" applyFill="1" applyBorder="1" applyAlignment="1" applyProtection="1"/>
    <xf numFmtId="2" fontId="4" fillId="6" borderId="1" xfId="0" applyNumberFormat="1" applyFont="1" applyFill="1" applyBorder="1" applyAlignment="1" applyProtection="1"/>
    <xf numFmtId="0" fontId="8" fillId="6" borderId="2" xfId="1" applyFont="1" applyFill="1" applyBorder="1"/>
    <xf numFmtId="3" fontId="8" fillId="6" borderId="1" xfId="0" applyNumberFormat="1" applyFont="1" applyFill="1" applyBorder="1" applyAlignment="1">
      <alignment horizontal="right"/>
    </xf>
    <xf numFmtId="0" fontId="8" fillId="6" borderId="4" xfId="1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right"/>
    </xf>
    <xf numFmtId="3" fontId="4" fillId="6" borderId="1" xfId="1" applyNumberFormat="1" applyFont="1" applyFill="1" applyBorder="1"/>
    <xf numFmtId="167" fontId="11" fillId="3" borderId="0" xfId="0" applyNumberFormat="1" applyFont="1" applyFill="1" applyBorder="1" applyAlignment="1" applyProtection="1"/>
    <xf numFmtId="0" fontId="11" fillId="3" borderId="0" xfId="0" applyNumberFormat="1" applyFont="1" applyFill="1" applyBorder="1" applyAlignment="1" applyProtection="1"/>
    <xf numFmtId="1" fontId="5" fillId="3" borderId="1" xfId="0" applyNumberFormat="1" applyFont="1" applyFill="1" applyBorder="1" applyAlignment="1" applyProtection="1"/>
    <xf numFmtId="169" fontId="5" fillId="3" borderId="1" xfId="0" applyNumberFormat="1" applyFont="1" applyFill="1" applyBorder="1" applyAlignment="1" applyProtection="1"/>
    <xf numFmtId="2" fontId="5" fillId="3" borderId="0" xfId="0" applyNumberFormat="1" applyFont="1" applyFill="1" applyBorder="1" applyAlignment="1" applyProtection="1"/>
    <xf numFmtId="0" fontId="12" fillId="3" borderId="0" xfId="0" applyNumberFormat="1" applyFont="1" applyFill="1" applyBorder="1" applyAlignment="1" applyProtection="1"/>
    <xf numFmtId="2" fontId="11" fillId="3" borderId="0" xfId="0" applyNumberFormat="1" applyFont="1" applyFill="1" applyBorder="1" applyAlignment="1" applyProtection="1"/>
    <xf numFmtId="3" fontId="11" fillId="3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8" fillId="3" borderId="0" xfId="1" applyFont="1" applyFill="1" applyBorder="1"/>
    <xf numFmtId="3" fontId="8" fillId="3" borderId="0" xfId="0" applyNumberFormat="1" applyFont="1" applyFill="1" applyBorder="1" applyAlignment="1">
      <alignment horizontal="right"/>
    </xf>
    <xf numFmtId="0" fontId="8" fillId="3" borderId="0" xfId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right"/>
    </xf>
    <xf numFmtId="3" fontId="4" fillId="3" borderId="0" xfId="1" applyNumberFormat="1" applyFont="1" applyFill="1" applyBorder="1"/>
    <xf numFmtId="165" fontId="5" fillId="3" borderId="1" xfId="0" applyNumberFormat="1" applyFont="1" applyFill="1" applyBorder="1" applyAlignment="1" applyProtection="1"/>
    <xf numFmtId="168" fontId="5" fillId="3" borderId="1" xfId="0" applyNumberFormat="1" applyFont="1" applyFill="1" applyBorder="1" applyAlignment="1" applyProtection="1"/>
    <xf numFmtId="0" fontId="8" fillId="3" borderId="7" xfId="1" applyFont="1" applyFill="1" applyBorder="1"/>
    <xf numFmtId="0" fontId="8" fillId="3" borderId="9" xfId="1" applyFont="1" applyFill="1" applyBorder="1" applyAlignment="1">
      <alignment horizontal="center"/>
    </xf>
    <xf numFmtId="2" fontId="9" fillId="3" borderId="5" xfId="0" applyNumberFormat="1" applyFont="1" applyFill="1" applyBorder="1" applyAlignment="1">
      <alignment horizontal="right"/>
    </xf>
    <xf numFmtId="3" fontId="4" fillId="3" borderId="5" xfId="1" applyNumberFormat="1" applyFont="1" applyFill="1" applyBorder="1"/>
    <xf numFmtId="167" fontId="5" fillId="3" borderId="1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vertical="distributed"/>
    </xf>
    <xf numFmtId="170" fontId="4" fillId="3" borderId="1" xfId="0" applyNumberFormat="1" applyFont="1" applyFill="1" applyBorder="1" applyAlignment="1" applyProtection="1"/>
    <xf numFmtId="0" fontId="4" fillId="6" borderId="1" xfId="0" applyNumberFormat="1" applyFont="1" applyFill="1" applyBorder="1" applyAlignment="1" applyProtection="1">
      <alignment horizontal="left"/>
    </xf>
    <xf numFmtId="166" fontId="4" fillId="6" borderId="1" xfId="0" applyNumberFormat="1" applyFont="1" applyFill="1" applyBorder="1" applyAlignment="1" applyProtection="1"/>
    <xf numFmtId="0" fontId="5" fillId="6" borderId="1" xfId="0" applyNumberFormat="1" applyFont="1" applyFill="1" applyBorder="1" applyAlignment="1" applyProtection="1"/>
    <xf numFmtId="1" fontId="5" fillId="6" borderId="1" xfId="0" applyNumberFormat="1" applyFont="1" applyFill="1" applyBorder="1" applyAlignment="1" applyProtection="1"/>
    <xf numFmtId="0" fontId="5" fillId="6" borderId="1" xfId="0" applyNumberFormat="1" applyFont="1" applyFill="1" applyBorder="1" applyAlignment="1" applyProtection="1">
      <alignment horizontal="center"/>
    </xf>
    <xf numFmtId="3" fontId="5" fillId="6" borderId="1" xfId="0" applyNumberFormat="1" applyFont="1" applyFill="1" applyBorder="1" applyAlignment="1" applyProtection="1"/>
    <xf numFmtId="165" fontId="5" fillId="6" borderId="1" xfId="0" applyNumberFormat="1" applyFont="1" applyFill="1" applyBorder="1" applyAlignment="1" applyProtection="1"/>
    <xf numFmtId="0" fontId="8" fillId="6" borderId="7" xfId="1" applyFont="1" applyFill="1" applyBorder="1"/>
    <xf numFmtId="0" fontId="8" fillId="6" borderId="9" xfId="1" applyFont="1" applyFill="1" applyBorder="1" applyAlignment="1">
      <alignment horizontal="center"/>
    </xf>
    <xf numFmtId="2" fontId="9" fillId="6" borderId="5" xfId="0" applyNumberFormat="1" applyFont="1" applyFill="1" applyBorder="1" applyAlignment="1">
      <alignment horizontal="right"/>
    </xf>
    <xf numFmtId="3" fontId="4" fillId="6" borderId="5" xfId="1" applyNumberFormat="1" applyFont="1" applyFill="1" applyBorder="1"/>
    <xf numFmtId="170" fontId="4" fillId="6" borderId="1" xfId="0" applyNumberFormat="1" applyFont="1" applyFill="1" applyBorder="1" applyAlignment="1" applyProtection="1"/>
    <xf numFmtId="169" fontId="4" fillId="6" borderId="1" xfId="0" applyNumberFormat="1" applyFont="1" applyFill="1" applyBorder="1" applyAlignment="1" applyProtection="1"/>
    <xf numFmtId="0" fontId="4" fillId="6" borderId="1" xfId="0" applyNumberFormat="1" applyFont="1" applyFill="1" applyBorder="1" applyAlignment="1" applyProtection="1">
      <alignment horizontal="left" vertical="distributed"/>
    </xf>
    <xf numFmtId="1" fontId="4" fillId="6" borderId="1" xfId="0" applyNumberFormat="1" applyFont="1" applyFill="1" applyBorder="1" applyAlignment="1" applyProtection="1">
      <alignment vertical="distributed"/>
    </xf>
    <xf numFmtId="0" fontId="4" fillId="6" borderId="1" xfId="0" applyNumberFormat="1" applyFont="1" applyFill="1" applyBorder="1" applyAlignment="1" applyProtection="1">
      <alignment horizontal="center" vertical="distributed"/>
    </xf>
    <xf numFmtId="3" fontId="4" fillId="6" borderId="1" xfId="0" applyNumberFormat="1" applyFont="1" applyFill="1" applyBorder="1" applyAlignment="1" applyProtection="1">
      <alignment vertical="distributed"/>
    </xf>
    <xf numFmtId="0" fontId="4" fillId="6" borderId="1" xfId="0" applyNumberFormat="1" applyFont="1" applyFill="1" applyBorder="1" applyAlignment="1" applyProtection="1">
      <alignment vertical="distributed"/>
    </xf>
    <xf numFmtId="165" fontId="4" fillId="6" borderId="1" xfId="0" applyNumberFormat="1" applyFont="1" applyFill="1" applyBorder="1" applyAlignment="1" applyProtection="1">
      <alignment vertical="distributed"/>
    </xf>
    <xf numFmtId="167" fontId="4" fillId="6" borderId="1" xfId="0" applyNumberFormat="1" applyFont="1" applyFill="1" applyBorder="1" applyAlignment="1" applyProtection="1"/>
    <xf numFmtId="171" fontId="4" fillId="3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0" fontId="8" fillId="7" borderId="0" xfId="1" applyFont="1" applyFill="1"/>
    <xf numFmtId="0" fontId="4" fillId="7" borderId="0" xfId="1" applyFont="1" applyFill="1"/>
    <xf numFmtId="0" fontId="4" fillId="7" borderId="0" xfId="1" applyFont="1" applyFill="1" applyAlignment="1">
      <alignment horizontal="center"/>
    </xf>
    <xf numFmtId="0" fontId="4" fillId="7" borderId="0" xfId="1" applyFont="1" applyFill="1" applyAlignment="1">
      <alignment horizontal="right"/>
    </xf>
    <xf numFmtId="0" fontId="4" fillId="7" borderId="6" xfId="1" applyFont="1" applyFill="1" applyBorder="1" applyAlignment="1">
      <alignment horizontal="center"/>
    </xf>
    <xf numFmtId="0" fontId="4" fillId="7" borderId="1" xfId="0" applyNumberFormat="1" applyFont="1" applyFill="1" applyBorder="1" applyAlignment="1" applyProtection="1"/>
    <xf numFmtId="1" fontId="4" fillId="7" borderId="1" xfId="0" applyNumberFormat="1" applyFont="1" applyFill="1" applyBorder="1" applyAlignment="1" applyProtection="1"/>
    <xf numFmtId="0" fontId="4" fillId="7" borderId="1" xfId="0" applyNumberFormat="1" applyFont="1" applyFill="1" applyBorder="1" applyAlignment="1" applyProtection="1">
      <alignment horizontal="center"/>
    </xf>
    <xf numFmtId="3" fontId="4" fillId="7" borderId="1" xfId="0" applyNumberFormat="1" applyFont="1" applyFill="1" applyBorder="1" applyAlignment="1" applyProtection="1"/>
    <xf numFmtId="165" fontId="4" fillId="7" borderId="1" xfId="0" applyNumberFormat="1" applyFont="1" applyFill="1" applyBorder="1" applyAlignment="1" applyProtection="1"/>
    <xf numFmtId="167" fontId="4" fillId="7" borderId="1" xfId="0" applyNumberFormat="1" applyFont="1" applyFill="1" applyBorder="1" applyAlignment="1" applyProtection="1"/>
    <xf numFmtId="3" fontId="4" fillId="7" borderId="1" xfId="1" applyNumberFormat="1" applyFont="1" applyFill="1" applyBorder="1"/>
    <xf numFmtId="0" fontId="8" fillId="7" borderId="2" xfId="1" applyFont="1" applyFill="1" applyBorder="1"/>
    <xf numFmtId="3" fontId="8" fillId="7" borderId="1" xfId="0" applyNumberFormat="1" applyFont="1" applyFill="1" applyBorder="1" applyAlignment="1">
      <alignment horizontal="right"/>
    </xf>
    <xf numFmtId="0" fontId="8" fillId="7" borderId="4" xfId="1" applyFont="1" applyFill="1" applyBorder="1" applyAlignment="1">
      <alignment horizontal="center"/>
    </xf>
    <xf numFmtId="2" fontId="9" fillId="7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 applyProtection="1"/>
    <xf numFmtId="0" fontId="4" fillId="7" borderId="1" xfId="0" applyNumberFormat="1" applyFont="1" applyFill="1" applyBorder="1" applyAlignment="1" applyProtection="1">
      <alignment horizontal="left"/>
    </xf>
    <xf numFmtId="166" fontId="4" fillId="7" borderId="1" xfId="0" applyNumberFormat="1" applyFont="1" applyFill="1" applyBorder="1" applyAlignment="1" applyProtection="1"/>
    <xf numFmtId="170" fontId="4" fillId="7" borderId="1" xfId="0" applyNumberFormat="1" applyFont="1" applyFill="1" applyBorder="1" applyAlignment="1" applyProtection="1"/>
    <xf numFmtId="171" fontId="4" fillId="7" borderId="1" xfId="0" applyNumberFormat="1" applyFont="1" applyFill="1" applyBorder="1" applyAlignment="1" applyProtection="1"/>
    <xf numFmtId="168" fontId="4" fillId="7" borderId="1" xfId="0" applyNumberFormat="1" applyFont="1" applyFill="1" applyBorder="1" applyAlignment="1" applyProtection="1"/>
    <xf numFmtId="0" fontId="5" fillId="7" borderId="1" xfId="0" applyNumberFormat="1" applyFont="1" applyFill="1" applyBorder="1" applyAlignment="1" applyProtection="1"/>
    <xf numFmtId="1" fontId="5" fillId="7" borderId="1" xfId="0" applyNumberFormat="1" applyFont="1" applyFill="1" applyBorder="1" applyAlignment="1" applyProtection="1"/>
    <xf numFmtId="0" fontId="5" fillId="7" borderId="1" xfId="0" applyNumberFormat="1" applyFont="1" applyFill="1" applyBorder="1" applyAlignment="1" applyProtection="1">
      <alignment horizontal="center"/>
    </xf>
    <xf numFmtId="3" fontId="5" fillId="7" borderId="1" xfId="0" applyNumberFormat="1" applyFont="1" applyFill="1" applyBorder="1" applyAlignment="1" applyProtection="1"/>
    <xf numFmtId="165" fontId="5" fillId="7" borderId="1" xfId="0" applyNumberFormat="1" applyFont="1" applyFill="1" applyBorder="1" applyAlignment="1" applyProtection="1"/>
    <xf numFmtId="0" fontId="8" fillId="7" borderId="7" xfId="1" applyFont="1" applyFill="1" applyBorder="1"/>
    <xf numFmtId="0" fontId="8" fillId="7" borderId="9" xfId="1" applyFont="1" applyFill="1" applyBorder="1" applyAlignment="1">
      <alignment horizontal="center"/>
    </xf>
    <xf numFmtId="2" fontId="9" fillId="7" borderId="5" xfId="0" applyNumberFormat="1" applyFont="1" applyFill="1" applyBorder="1" applyAlignment="1">
      <alignment horizontal="right"/>
    </xf>
    <xf numFmtId="3" fontId="4" fillId="7" borderId="5" xfId="1" applyNumberFormat="1" applyFont="1" applyFill="1" applyBorder="1"/>
    <xf numFmtId="0" fontId="4" fillId="7" borderId="1" xfId="0" applyNumberFormat="1" applyFont="1" applyFill="1" applyBorder="1" applyAlignment="1" applyProtection="1">
      <alignment horizontal="left" vertical="distributed"/>
    </xf>
    <xf numFmtId="1" fontId="4" fillId="7" borderId="1" xfId="0" applyNumberFormat="1" applyFont="1" applyFill="1" applyBorder="1" applyAlignment="1" applyProtection="1">
      <alignment vertical="distributed"/>
    </xf>
    <xf numFmtId="0" fontId="4" fillId="7" borderId="1" xfId="0" applyNumberFormat="1" applyFont="1" applyFill="1" applyBorder="1" applyAlignment="1" applyProtection="1">
      <alignment horizontal="center" vertical="distributed"/>
    </xf>
    <xf numFmtId="3" fontId="4" fillId="7" borderId="1" xfId="0" applyNumberFormat="1" applyFont="1" applyFill="1" applyBorder="1" applyAlignment="1" applyProtection="1">
      <alignment vertical="distributed"/>
    </xf>
    <xf numFmtId="0" fontId="4" fillId="7" borderId="1" xfId="0" applyNumberFormat="1" applyFont="1" applyFill="1" applyBorder="1" applyAlignment="1" applyProtection="1">
      <alignment vertical="distributed"/>
    </xf>
    <xf numFmtId="165" fontId="4" fillId="7" borderId="1" xfId="0" applyNumberFormat="1" applyFont="1" applyFill="1" applyBorder="1" applyAlignment="1" applyProtection="1">
      <alignment vertical="distributed"/>
    </xf>
    <xf numFmtId="0" fontId="4" fillId="7" borderId="1" xfId="3" applyNumberFormat="1" applyFont="1" applyFill="1" applyBorder="1" applyAlignment="1" applyProtection="1"/>
    <xf numFmtId="1" fontId="4" fillId="7" borderId="1" xfId="3" applyNumberFormat="1" applyFont="1" applyFill="1" applyBorder="1" applyAlignment="1" applyProtection="1"/>
    <xf numFmtId="0" fontId="4" fillId="7" borderId="1" xfId="3" applyNumberFormat="1" applyFont="1" applyFill="1" applyBorder="1" applyAlignment="1" applyProtection="1">
      <alignment horizontal="center"/>
    </xf>
    <xf numFmtId="3" fontId="4" fillId="7" borderId="1" xfId="3" applyNumberFormat="1" applyFont="1" applyFill="1" applyBorder="1" applyAlignment="1" applyProtection="1"/>
    <xf numFmtId="165" fontId="4" fillId="7" borderId="1" xfId="3" applyNumberFormat="1" applyFont="1" applyFill="1" applyBorder="1" applyAlignment="1" applyProtection="1"/>
    <xf numFmtId="168" fontId="4" fillId="7" borderId="1" xfId="3" applyNumberFormat="1" applyFont="1" applyFill="1" applyBorder="1" applyAlignment="1" applyProtection="1"/>
    <xf numFmtId="3" fontId="8" fillId="7" borderId="1" xfId="3" applyNumberFormat="1" applyFont="1" applyFill="1" applyBorder="1" applyAlignment="1">
      <alignment horizontal="right"/>
    </xf>
    <xf numFmtId="2" fontId="9" fillId="7" borderId="1" xfId="3" applyNumberFormat="1" applyFont="1" applyFill="1" applyBorder="1" applyAlignment="1">
      <alignment horizontal="right"/>
    </xf>
    <xf numFmtId="169" fontId="4" fillId="7" borderId="1" xfId="0" applyNumberFormat="1" applyFont="1" applyFill="1" applyBorder="1" applyAlignment="1" applyProtection="1"/>
    <xf numFmtId="0" fontId="4" fillId="0" borderId="0" xfId="3" applyNumberFormat="1" applyFont="1" applyFill="1" applyBorder="1" applyAlignment="1" applyProtection="1"/>
    <xf numFmtId="170" fontId="4" fillId="7" borderId="1" xfId="3" applyNumberFormat="1" applyFont="1" applyFill="1" applyBorder="1" applyAlignment="1" applyProtection="1"/>
    <xf numFmtId="0" fontId="8" fillId="3" borderId="0" xfId="0" applyFont="1" applyFill="1"/>
    <xf numFmtId="0" fontId="4" fillId="3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/>
    <xf numFmtId="3" fontId="4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/>
    <xf numFmtId="0" fontId="8" fillId="3" borderId="2" xfId="0" applyFont="1" applyFill="1" applyBorder="1"/>
    <xf numFmtId="3" fontId="8" fillId="3" borderId="3" xfId="0" applyNumberFormat="1" applyFont="1" applyFill="1" applyBorder="1"/>
    <xf numFmtId="0" fontId="8" fillId="3" borderId="4" xfId="0" applyFont="1" applyFill="1" applyBorder="1" applyAlignment="1">
      <alignment horizontal="center"/>
    </xf>
    <xf numFmtId="3" fontId="4" fillId="3" borderId="0" xfId="0" applyNumberFormat="1" applyFont="1" applyFill="1"/>
    <xf numFmtId="3" fontId="8" fillId="3" borderId="0" xfId="3" applyNumberFormat="1" applyFont="1" applyFill="1" applyBorder="1" applyAlignment="1">
      <alignment horizontal="right"/>
    </xf>
    <xf numFmtId="2" fontId="9" fillId="3" borderId="0" xfId="3" applyNumberFormat="1" applyFont="1" applyFill="1" applyBorder="1" applyAlignment="1">
      <alignment horizontal="right"/>
    </xf>
    <xf numFmtId="3" fontId="4" fillId="3" borderId="1" xfId="4" applyNumberFormat="1" applyFont="1" applyFill="1" applyBorder="1" applyAlignment="1" applyProtection="1"/>
    <xf numFmtId="1" fontId="4" fillId="3" borderId="1" xfId="0" applyNumberFormat="1" applyFont="1" applyFill="1" applyBorder="1" applyAlignment="1" applyProtection="1">
      <alignment vertical="distributed" wrapText="1"/>
    </xf>
    <xf numFmtId="165" fontId="4" fillId="3" borderId="1" xfId="0" applyNumberFormat="1" applyFont="1" applyFill="1" applyBorder="1" applyAlignment="1" applyProtection="1">
      <alignment vertical="distributed" wrapText="1"/>
    </xf>
    <xf numFmtId="0" fontId="4" fillId="3" borderId="1" xfId="4" applyNumberFormat="1" applyFont="1" applyFill="1" applyBorder="1" applyAlignment="1" applyProtection="1"/>
    <xf numFmtId="1" fontId="4" fillId="3" borderId="1" xfId="4" applyNumberFormat="1" applyFont="1" applyFill="1" applyBorder="1" applyAlignment="1" applyProtection="1"/>
    <xf numFmtId="0" fontId="4" fillId="3" borderId="1" xfId="4" applyNumberFormat="1" applyFont="1" applyFill="1" applyBorder="1" applyAlignment="1" applyProtection="1">
      <alignment horizontal="center"/>
    </xf>
    <xf numFmtId="165" fontId="4" fillId="3" borderId="1" xfId="4" applyNumberFormat="1" applyFont="1" applyFill="1" applyBorder="1" applyAlignment="1" applyProtection="1"/>
    <xf numFmtId="2" fontId="4" fillId="3" borderId="1" xfId="4" applyNumberFormat="1" applyFont="1" applyFill="1" applyBorder="1" applyAlignment="1" applyProtection="1"/>
    <xf numFmtId="170" fontId="4" fillId="3" borderId="1" xfId="4" applyNumberFormat="1" applyFont="1" applyFill="1" applyBorder="1" applyAlignment="1" applyProtection="1"/>
    <xf numFmtId="3" fontId="8" fillId="3" borderId="1" xfId="4" applyNumberFormat="1" applyFont="1" applyFill="1" applyBorder="1" applyAlignment="1">
      <alignment horizontal="right"/>
    </xf>
    <xf numFmtId="2" fontId="9" fillId="3" borderId="1" xfId="4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 applyProtection="1"/>
    <xf numFmtId="170" fontId="4" fillId="3" borderId="1" xfId="2" applyNumberFormat="1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/>
    <xf numFmtId="3" fontId="3" fillId="3" borderId="1" xfId="0" applyNumberFormat="1" applyFont="1" applyFill="1" applyBorder="1" applyAlignment="1" applyProtection="1">
      <alignment horizontal="center"/>
    </xf>
    <xf numFmtId="0" fontId="5" fillId="3" borderId="2" xfId="0" applyNumberFormat="1" applyFont="1" applyFill="1" applyBorder="1" applyAlignment="1" applyProtection="1">
      <alignment vertical="distributed"/>
    </xf>
    <xf numFmtId="0" fontId="5" fillId="3" borderId="3" xfId="0" applyNumberFormat="1" applyFont="1" applyFill="1" applyBorder="1" applyAlignment="1" applyProtection="1">
      <alignment horizontal="center" vertical="distributed"/>
    </xf>
    <xf numFmtId="3" fontId="5" fillId="3" borderId="3" xfId="0" applyNumberFormat="1" applyFont="1" applyFill="1" applyBorder="1" applyAlignment="1" applyProtection="1">
      <alignment vertical="distributed"/>
    </xf>
    <xf numFmtId="3" fontId="5" fillId="3" borderId="4" xfId="0" applyNumberFormat="1" applyFont="1" applyFill="1" applyBorder="1" applyAlignment="1" applyProtection="1">
      <alignment vertical="distributed"/>
    </xf>
    <xf numFmtId="0" fontId="5" fillId="5" borderId="1" xfId="0" applyNumberFormat="1" applyFont="1" applyFill="1" applyBorder="1" applyAlignment="1" applyProtection="1">
      <alignment horizontal="center"/>
    </xf>
    <xf numFmtId="3" fontId="5" fillId="5" borderId="1" xfId="0" applyNumberFormat="1" applyFont="1" applyFill="1" applyBorder="1" applyAlignment="1" applyProtection="1">
      <alignment horizontal="right"/>
    </xf>
    <xf numFmtId="3" fontId="3" fillId="5" borderId="1" xfId="0" applyNumberFormat="1" applyFont="1" applyFill="1" applyBorder="1" applyAlignment="1" applyProtection="1">
      <alignment horizontal="right"/>
    </xf>
    <xf numFmtId="3" fontId="13" fillId="0" borderId="0" xfId="5" applyNumberFormat="1" applyFont="1"/>
    <xf numFmtId="0" fontId="17" fillId="0" borderId="0" xfId="5" applyFont="1"/>
    <xf numFmtId="3" fontId="17" fillId="0" borderId="0" xfId="5" applyNumberFormat="1" applyFont="1"/>
    <xf numFmtId="0" fontId="17" fillId="0" borderId="0" xfId="5" applyFont="1" applyAlignment="1">
      <alignment horizontal="center"/>
    </xf>
    <xf numFmtId="0" fontId="13" fillId="0" borderId="0" xfId="5" applyFont="1" applyBorder="1" applyAlignment="1"/>
    <xf numFmtId="0" fontId="19" fillId="0" borderId="20" xfId="7" applyFont="1" applyFill="1" applyBorder="1" applyAlignment="1">
      <alignment horizontal="center"/>
    </xf>
    <xf numFmtId="0" fontId="19" fillId="0" borderId="21" xfId="7" applyFont="1" applyFill="1" applyBorder="1" applyAlignment="1">
      <alignment horizontal="center"/>
    </xf>
    <xf numFmtId="0" fontId="19" fillId="0" borderId="22" xfId="7" applyFont="1" applyFill="1" applyBorder="1" applyAlignment="1">
      <alignment horizontal="center"/>
    </xf>
    <xf numFmtId="0" fontId="22" fillId="0" borderId="20" xfId="7" applyFont="1" applyFill="1" applyBorder="1" applyAlignment="1">
      <alignment horizontal="center"/>
    </xf>
    <xf numFmtId="173" fontId="22" fillId="0" borderId="23" xfId="7" applyNumberFormat="1" applyFont="1" applyFill="1" applyBorder="1"/>
    <xf numFmtId="174" fontId="22" fillId="0" borderId="20" xfId="6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9" fillId="2" borderId="15" xfId="7" applyFont="1" applyFill="1" applyBorder="1" applyAlignment="1" applyProtection="1">
      <alignment horizontal="center"/>
      <protection hidden="1"/>
    </xf>
    <xf numFmtId="172" fontId="21" fillId="2" borderId="16" xfId="8" applyFont="1" applyFill="1" applyBorder="1" applyAlignment="1" applyProtection="1">
      <alignment horizontal="right" vertical="center"/>
      <protection hidden="1"/>
    </xf>
    <xf numFmtId="0" fontId="19" fillId="2" borderId="2" xfId="7" applyFont="1" applyFill="1" applyBorder="1" applyAlignment="1" applyProtection="1">
      <alignment horizontal="center"/>
      <protection hidden="1"/>
    </xf>
    <xf numFmtId="0" fontId="18" fillId="2" borderId="17" xfId="8" applyNumberFormat="1" applyFont="1" applyFill="1" applyBorder="1" applyAlignment="1" applyProtection="1">
      <alignment horizontal="center" vertical="center"/>
      <protection hidden="1"/>
    </xf>
    <xf numFmtId="1" fontId="5" fillId="0" borderId="1" xfId="0" applyNumberFormat="1" applyFont="1" applyFill="1" applyBorder="1" applyAlignment="1" applyProtection="1">
      <alignment horizontal="center"/>
    </xf>
    <xf numFmtId="0" fontId="13" fillId="0" borderId="35" xfId="5" applyFont="1" applyBorder="1" applyAlignment="1">
      <alignment horizontal="center"/>
    </xf>
    <xf numFmtId="4" fontId="13" fillId="0" borderId="35" xfId="5" applyNumberFormat="1" applyFont="1" applyBorder="1"/>
    <xf numFmtId="3" fontId="13" fillId="0" borderId="35" xfId="5" applyNumberFormat="1" applyFont="1" applyBorder="1"/>
    <xf numFmtId="0" fontId="17" fillId="0" borderId="35" xfId="5" applyFont="1" applyBorder="1"/>
    <xf numFmtId="173" fontId="22" fillId="0" borderId="35" xfId="7" applyNumberFormat="1" applyFont="1" applyFill="1" applyBorder="1"/>
    <xf numFmtId="0" fontId="5" fillId="3" borderId="40" xfId="0" applyNumberFormat="1" applyFont="1" applyFill="1" applyBorder="1" applyAlignment="1" applyProtection="1">
      <alignment horizontal="left"/>
    </xf>
    <xf numFmtId="0" fontId="22" fillId="0" borderId="36" xfId="7" applyFont="1" applyFill="1" applyBorder="1" applyAlignment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174" fontId="22" fillId="0" borderId="36" xfId="6" applyNumberFormat="1" applyFont="1" applyFill="1" applyBorder="1" applyAlignment="1">
      <alignment horizontal="center"/>
    </xf>
    <xf numFmtId="173" fontId="22" fillId="0" borderId="26" xfId="7" applyNumberFormat="1" applyFont="1" applyFill="1" applyBorder="1"/>
    <xf numFmtId="0" fontId="22" fillId="0" borderId="41" xfId="7" applyFont="1" applyFill="1" applyBorder="1" applyAlignment="1">
      <alignment horizontal="center"/>
    </xf>
    <xf numFmtId="174" fontId="22" fillId="0" borderId="41" xfId="6" applyNumberFormat="1" applyFont="1" applyFill="1" applyBorder="1" applyAlignment="1">
      <alignment horizontal="center"/>
    </xf>
    <xf numFmtId="0" fontId="22" fillId="0" borderId="35" xfId="7" applyFont="1" applyFill="1" applyBorder="1" applyAlignment="1"/>
    <xf numFmtId="0" fontId="22" fillId="8" borderId="18" xfId="7" applyFont="1" applyFill="1" applyBorder="1" applyAlignment="1"/>
    <xf numFmtId="0" fontId="22" fillId="8" borderId="19" xfId="7" applyFont="1" applyFill="1" applyBorder="1" applyAlignment="1"/>
    <xf numFmtId="9" fontId="22" fillId="8" borderId="19" xfId="9" applyFont="1" applyFill="1" applyBorder="1" applyAlignment="1"/>
    <xf numFmtId="0" fontId="24" fillId="0" borderId="4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5" fillId="3" borderId="45" xfId="0" applyNumberFormat="1" applyFont="1" applyFill="1" applyBorder="1" applyAlignment="1" applyProtection="1">
      <alignment horizontal="left"/>
    </xf>
    <xf numFmtId="0" fontId="5" fillId="3" borderId="44" xfId="0" applyNumberFormat="1" applyFont="1" applyFill="1" applyBorder="1" applyAlignment="1" applyProtection="1">
      <alignment horizontal="left"/>
    </xf>
    <xf numFmtId="0" fontId="22" fillId="0" borderId="0" xfId="7" applyFont="1" applyFill="1" applyBorder="1" applyAlignment="1">
      <alignment horizontal="left"/>
    </xf>
    <xf numFmtId="173" fontId="22" fillId="0" borderId="0" xfId="7" applyNumberFormat="1" applyFont="1" applyFill="1" applyBorder="1"/>
    <xf numFmtId="0" fontId="19" fillId="2" borderId="49" xfId="7" applyFont="1" applyFill="1" applyBorder="1" applyAlignment="1" applyProtection="1">
      <alignment horizontal="center"/>
      <protection hidden="1"/>
    </xf>
    <xf numFmtId="172" fontId="21" fillId="2" borderId="49" xfId="8" applyFont="1" applyFill="1" applyBorder="1" applyAlignment="1" applyProtection="1">
      <alignment horizontal="right" vertical="center"/>
      <protection hidden="1"/>
    </xf>
    <xf numFmtId="0" fontId="18" fillId="2" borderId="49" xfId="8" applyNumberFormat="1" applyFont="1" applyFill="1" applyBorder="1" applyAlignment="1" applyProtection="1">
      <alignment horizontal="center" vertical="center"/>
      <protection hidden="1"/>
    </xf>
    <xf numFmtId="0" fontId="5" fillId="3" borderId="46" xfId="0" applyNumberFormat="1" applyFont="1" applyFill="1" applyBorder="1" applyAlignment="1" applyProtection="1">
      <alignment horizontal="left"/>
    </xf>
    <xf numFmtId="0" fontId="19" fillId="0" borderId="58" xfId="7" applyFont="1" applyFill="1" applyBorder="1" applyAlignment="1">
      <alignment horizontal="center"/>
    </xf>
    <xf numFmtId="0" fontId="5" fillId="3" borderId="57" xfId="0" applyNumberFormat="1" applyFont="1" applyFill="1" applyBorder="1" applyAlignment="1" applyProtection="1">
      <alignment horizontal="left"/>
    </xf>
    <xf numFmtId="0" fontId="5" fillId="3" borderId="55" xfId="0" applyNumberFormat="1" applyFont="1" applyFill="1" applyBorder="1" applyAlignment="1" applyProtection="1">
      <alignment horizontal="left"/>
    </xf>
    <xf numFmtId="0" fontId="5" fillId="3" borderId="54" xfId="0" applyNumberFormat="1" applyFont="1" applyFill="1" applyBorder="1" applyAlignment="1" applyProtection="1">
      <alignment horizontal="left"/>
    </xf>
    <xf numFmtId="0" fontId="22" fillId="0" borderId="51" xfId="7" applyFont="1" applyFill="1" applyBorder="1" applyAlignment="1">
      <alignment horizontal="left"/>
    </xf>
    <xf numFmtId="0" fontId="19" fillId="0" borderId="56" xfId="7" applyFont="1" applyFill="1" applyBorder="1" applyAlignment="1">
      <alignment horizontal="center"/>
    </xf>
    <xf numFmtId="0" fontId="19" fillId="0" borderId="53" xfId="7" applyFont="1" applyFill="1" applyBorder="1" applyAlignment="1">
      <alignment horizontal="center"/>
    </xf>
    <xf numFmtId="0" fontId="5" fillId="3" borderId="52" xfId="0" applyNumberFormat="1" applyFont="1" applyFill="1" applyBorder="1" applyAlignment="1" applyProtection="1">
      <alignment horizontal="left"/>
    </xf>
    <xf numFmtId="0" fontId="19" fillId="0" borderId="24" xfId="7" applyFont="1" applyFill="1" applyBorder="1" applyAlignment="1">
      <alignment horizontal="center"/>
    </xf>
    <xf numFmtId="0" fontId="5" fillId="0" borderId="54" xfId="0" applyNumberFormat="1" applyFont="1" applyFill="1" applyBorder="1" applyAlignment="1" applyProtection="1">
      <alignment horizontal="left"/>
    </xf>
    <xf numFmtId="0" fontId="5" fillId="0" borderId="44" xfId="0" applyNumberFormat="1" applyFont="1" applyFill="1" applyBorder="1" applyAlignment="1" applyProtection="1">
      <alignment horizontal="left"/>
    </xf>
    <xf numFmtId="2" fontId="5" fillId="0" borderId="1" xfId="0" applyNumberFormat="1" applyFont="1" applyFill="1" applyBorder="1" applyAlignment="1" applyProtection="1">
      <alignment horizontal="center"/>
    </xf>
    <xf numFmtId="166" fontId="5" fillId="0" borderId="1" xfId="0" applyNumberFormat="1" applyFont="1" applyFill="1" applyBorder="1" applyAlignment="1" applyProtection="1">
      <alignment horizontal="center"/>
    </xf>
    <xf numFmtId="0" fontId="5" fillId="0" borderId="57" xfId="0" applyNumberFormat="1" applyFont="1" applyFill="1" applyBorder="1" applyAlignment="1" applyProtection="1">
      <alignment horizontal="left"/>
    </xf>
    <xf numFmtId="0" fontId="5" fillId="0" borderId="46" xfId="0" applyNumberFormat="1" applyFont="1" applyFill="1" applyBorder="1" applyAlignment="1" applyProtection="1">
      <alignment horizontal="left"/>
    </xf>
    <xf numFmtId="0" fontId="27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6" applyNumberFormat="1" applyFont="1" applyBorder="1" applyAlignment="1">
      <alignment vertical="center"/>
    </xf>
    <xf numFmtId="43" fontId="0" fillId="0" borderId="49" xfId="6" applyNumberFormat="1" applyFont="1" applyBorder="1" applyAlignment="1">
      <alignment vertical="center"/>
    </xf>
    <xf numFmtId="0" fontId="30" fillId="9" borderId="37" xfId="0" applyFont="1" applyFill="1" applyBorder="1" applyAlignment="1">
      <alignment horizontal="center" vertical="center"/>
    </xf>
    <xf numFmtId="0" fontId="30" fillId="9" borderId="0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175" fontId="22" fillId="0" borderId="20" xfId="10" applyNumberFormat="1" applyFont="1" applyFill="1" applyBorder="1" applyAlignment="1">
      <alignment horizontal="center" vertical="center"/>
    </xf>
    <xf numFmtId="0" fontId="30" fillId="9" borderId="59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3" fillId="0" borderId="60" xfId="0" applyFont="1" applyBorder="1" applyAlignment="1">
      <alignment horizontal="left" vertical="center" wrapText="1"/>
    </xf>
    <xf numFmtId="174" fontId="22" fillId="0" borderId="21" xfId="6" applyNumberFormat="1" applyFont="1" applyFill="1" applyBorder="1" applyAlignment="1">
      <alignment horizontal="center"/>
    </xf>
    <xf numFmtId="0" fontId="22" fillId="0" borderId="21" xfId="7" applyFont="1" applyFill="1" applyBorder="1" applyAlignment="1">
      <alignment horizontal="center"/>
    </xf>
    <xf numFmtId="175" fontId="22" fillId="0" borderId="21" xfId="10" applyNumberFormat="1" applyFont="1" applyFill="1" applyBorder="1" applyAlignment="1">
      <alignment horizontal="center" vertical="center"/>
    </xf>
    <xf numFmtId="174" fontId="22" fillId="0" borderId="62" xfId="6" applyNumberFormat="1" applyFont="1" applyFill="1" applyBorder="1" applyAlignment="1">
      <alignment horizontal="center"/>
    </xf>
    <xf numFmtId="175" fontId="22" fillId="0" borderId="62" xfId="10" applyNumberFormat="1" applyFont="1" applyFill="1" applyBorder="1" applyAlignment="1">
      <alignment horizontal="center" vertical="center"/>
    </xf>
    <xf numFmtId="0" fontId="30" fillId="9" borderId="49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left" vertical="center" wrapText="1"/>
    </xf>
    <xf numFmtId="174" fontId="22" fillId="0" borderId="49" xfId="6" applyNumberFormat="1" applyFont="1" applyFill="1" applyBorder="1" applyAlignment="1">
      <alignment horizontal="center"/>
    </xf>
    <xf numFmtId="175" fontId="22" fillId="0" borderId="49" xfId="10" applyNumberFormat="1" applyFont="1" applyFill="1" applyBorder="1" applyAlignment="1">
      <alignment horizontal="center" vertical="center"/>
    </xf>
    <xf numFmtId="174" fontId="22" fillId="0" borderId="63" xfId="6" applyNumberFormat="1" applyFont="1" applyFill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18" fillId="2" borderId="31" xfId="8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0" fontId="0" fillId="8" borderId="0" xfId="0" applyFill="1"/>
    <xf numFmtId="0" fontId="30" fillId="0" borderId="49" xfId="0" applyFont="1" applyFill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167" fontId="5" fillId="0" borderId="1" xfId="0" applyNumberFormat="1" applyFont="1" applyFill="1" applyBorder="1" applyAlignment="1" applyProtection="1">
      <alignment horizontal="center"/>
    </xf>
    <xf numFmtId="0" fontId="31" fillId="0" borderId="44" xfId="0" applyNumberFormat="1" applyFont="1" applyFill="1" applyBorder="1" applyAlignment="1" applyProtection="1">
      <alignment horizontal="left"/>
    </xf>
    <xf numFmtId="0" fontId="31" fillId="3" borderId="55" xfId="0" applyNumberFormat="1" applyFont="1" applyFill="1" applyBorder="1" applyAlignment="1" applyProtection="1">
      <alignment horizontal="left"/>
    </xf>
    <xf numFmtId="0" fontId="31" fillId="0" borderId="55" xfId="0" applyNumberFormat="1" applyFont="1" applyFill="1" applyBorder="1" applyAlignment="1" applyProtection="1">
      <alignment horizontal="left"/>
    </xf>
    <xf numFmtId="0" fontId="31" fillId="3" borderId="44" xfId="0" applyNumberFormat="1" applyFont="1" applyFill="1" applyBorder="1" applyAlignment="1" applyProtection="1">
      <alignment horizontal="left"/>
    </xf>
    <xf numFmtId="0" fontId="31" fillId="0" borderId="57" xfId="0" applyNumberFormat="1" applyFont="1" applyFill="1" applyBorder="1" applyAlignment="1" applyProtection="1">
      <alignment horizontal="left"/>
    </xf>
    <xf numFmtId="0" fontId="31" fillId="3" borderId="54" xfId="0" applyNumberFormat="1" applyFont="1" applyFill="1" applyBorder="1" applyAlignment="1" applyProtection="1">
      <alignment horizontal="left"/>
    </xf>
    <xf numFmtId="1" fontId="31" fillId="0" borderId="1" xfId="0" applyNumberFormat="1" applyFont="1" applyFill="1" applyBorder="1" applyAlignment="1" applyProtection="1">
      <alignment horizontal="center"/>
    </xf>
    <xf numFmtId="0" fontId="0" fillId="2" borderId="49" xfId="0" applyFont="1" applyFill="1" applyBorder="1" applyAlignment="1"/>
    <xf numFmtId="0" fontId="0" fillId="0" borderId="49" xfId="0" applyFont="1" applyFill="1" applyBorder="1" applyAlignment="1"/>
    <xf numFmtId="0" fontId="32" fillId="0" borderId="0" xfId="0" applyFont="1" applyFill="1"/>
    <xf numFmtId="0" fontId="19" fillId="0" borderId="62" xfId="7" applyFont="1" applyFill="1" applyBorder="1" applyAlignment="1">
      <alignment horizontal="center"/>
    </xf>
    <xf numFmtId="0" fontId="32" fillId="0" borderId="66" xfId="0" applyFont="1" applyFill="1" applyBorder="1"/>
    <xf numFmtId="0" fontId="19" fillId="2" borderId="0" xfId="7" applyFont="1" applyFill="1" applyBorder="1" applyAlignment="1" applyProtection="1">
      <alignment horizontal="center"/>
      <protection hidden="1"/>
    </xf>
    <xf numFmtId="0" fontId="18" fillId="2" borderId="69" xfId="8" applyNumberFormat="1" applyFont="1" applyFill="1" applyBorder="1" applyAlignment="1" applyProtection="1">
      <alignment horizontal="center" vertical="center"/>
      <protection hidden="1"/>
    </xf>
    <xf numFmtId="0" fontId="32" fillId="0" borderId="49" xfId="0" applyFont="1" applyFill="1" applyBorder="1"/>
    <xf numFmtId="0" fontId="0" fillId="10" borderId="0" xfId="0" applyFill="1"/>
    <xf numFmtId="0" fontId="25" fillId="0" borderId="49" xfId="0" applyFont="1" applyFill="1" applyBorder="1" applyAlignment="1">
      <alignment horizontal="center" vertical="center"/>
    </xf>
    <xf numFmtId="0" fontId="25" fillId="0" borderId="49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vertical="center" wrapText="1"/>
    </xf>
    <xf numFmtId="0" fontId="26" fillId="2" borderId="49" xfId="0" applyFont="1" applyFill="1" applyBorder="1" applyAlignment="1">
      <alignment vertical="center"/>
    </xf>
    <xf numFmtId="0" fontId="26" fillId="2" borderId="49" xfId="0" applyFont="1" applyFill="1" applyBorder="1" applyAlignment="1">
      <alignment horizontal="left" vertical="center"/>
    </xf>
    <xf numFmtId="0" fontId="4" fillId="2" borderId="49" xfId="0" applyFont="1" applyFill="1" applyBorder="1" applyAlignment="1"/>
    <xf numFmtId="0" fontId="0" fillId="0" borderId="0" xfId="0" applyFont="1" applyFill="1" applyBorder="1" applyAlignment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175" fontId="19" fillId="0" borderId="0" xfId="10" applyNumberFormat="1" applyFont="1" applyFill="1" applyBorder="1" applyAlignment="1">
      <alignment horizontal="center" vertical="center"/>
    </xf>
    <xf numFmtId="0" fontId="27" fillId="2" borderId="0" xfId="0" applyFont="1" applyFill="1"/>
    <xf numFmtId="0" fontId="0" fillId="2" borderId="0" xfId="0" applyFill="1"/>
    <xf numFmtId="0" fontId="26" fillId="2" borderId="66" xfId="0" applyFont="1" applyFill="1" applyBorder="1" applyAlignment="1">
      <alignment vertical="center" wrapText="1"/>
    </xf>
    <xf numFmtId="0" fontId="30" fillId="9" borderId="66" xfId="0" applyFont="1" applyFill="1" applyBorder="1" applyAlignment="1">
      <alignment horizontal="center" vertical="center"/>
    </xf>
    <xf numFmtId="175" fontId="19" fillId="2" borderId="49" xfId="10" applyNumberFormat="1" applyFont="1" applyFill="1" applyBorder="1" applyAlignment="1">
      <alignment horizontal="center" vertical="center"/>
    </xf>
    <xf numFmtId="0" fontId="22" fillId="0" borderId="62" xfId="7" applyFont="1" applyFill="1" applyBorder="1" applyAlignment="1">
      <alignment horizontal="center"/>
    </xf>
    <xf numFmtId="0" fontId="22" fillId="0" borderId="49" xfId="7" applyFont="1" applyFill="1" applyBorder="1" applyAlignment="1">
      <alignment horizontal="center"/>
    </xf>
    <xf numFmtId="174" fontId="22" fillId="0" borderId="72" xfId="6" applyNumberFormat="1" applyFont="1" applyFill="1" applyBorder="1" applyAlignment="1">
      <alignment horizontal="center"/>
    </xf>
    <xf numFmtId="0" fontId="22" fillId="0" borderId="73" xfId="7" applyFont="1" applyFill="1" applyBorder="1" applyAlignment="1">
      <alignment horizontal="center"/>
    </xf>
    <xf numFmtId="1" fontId="5" fillId="0" borderId="74" xfId="0" applyNumberFormat="1" applyFont="1" applyFill="1" applyBorder="1" applyAlignment="1" applyProtection="1">
      <alignment horizontal="center"/>
    </xf>
    <xf numFmtId="2" fontId="22" fillId="0" borderId="47" xfId="7" applyNumberFormat="1" applyFont="1" applyFill="1" applyBorder="1" applyAlignment="1">
      <alignment horizontal="center"/>
    </xf>
    <xf numFmtId="2" fontId="22" fillId="0" borderId="73" xfId="7" applyNumberFormat="1" applyFont="1" applyFill="1" applyBorder="1" applyAlignment="1">
      <alignment horizontal="center"/>
    </xf>
    <xf numFmtId="2" fontId="22" fillId="0" borderId="49" xfId="7" applyNumberFormat="1" applyFont="1" applyFill="1" applyBorder="1" applyAlignment="1">
      <alignment horizontal="center"/>
    </xf>
    <xf numFmtId="0" fontId="30" fillId="9" borderId="74" xfId="0" applyFont="1" applyFill="1" applyBorder="1" applyAlignment="1">
      <alignment horizontal="center" vertical="center"/>
    </xf>
    <xf numFmtId="0" fontId="19" fillId="0" borderId="76" xfId="7" applyFont="1" applyFill="1" applyBorder="1" applyAlignment="1">
      <alignment horizontal="center"/>
    </xf>
    <xf numFmtId="0" fontId="0" fillId="0" borderId="49" xfId="0" applyBorder="1"/>
    <xf numFmtId="0" fontId="0" fillId="0" borderId="75" xfId="0" applyBorder="1"/>
    <xf numFmtId="0" fontId="13" fillId="0" borderId="75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26" fillId="2" borderId="61" xfId="0" applyFont="1" applyFill="1" applyBorder="1" applyAlignment="1">
      <alignment vertical="center" wrapText="1"/>
    </xf>
    <xf numFmtId="0" fontId="27" fillId="0" borderId="0" xfId="0" applyFont="1"/>
    <xf numFmtId="0" fontId="0" fillId="0" borderId="0" xfId="0" applyAlignment="1">
      <alignment horizontal="center"/>
    </xf>
    <xf numFmtId="9" fontId="27" fillId="0" borderId="0" xfId="9" applyFont="1" applyAlignment="1">
      <alignment horizontal="center"/>
    </xf>
    <xf numFmtId="0" fontId="27" fillId="0" borderId="0" xfId="0" applyFont="1" applyAlignment="1">
      <alignment horizontal="center"/>
    </xf>
    <xf numFmtId="174" fontId="0" fillId="0" borderId="49" xfId="6" applyNumberFormat="1" applyFont="1" applyBorder="1"/>
    <xf numFmtId="9" fontId="0" fillId="0" borderId="49" xfId="9" applyFont="1" applyBorder="1" applyAlignment="1">
      <alignment horizontal="center"/>
    </xf>
    <xf numFmtId="174" fontId="0" fillId="0" borderId="0" xfId="6" applyNumberFormat="1" applyFont="1"/>
    <xf numFmtId="0" fontId="27" fillId="0" borderId="49" xfId="0" applyFont="1" applyBorder="1"/>
    <xf numFmtId="0" fontId="0" fillId="0" borderId="49" xfId="0" applyBorder="1" applyAlignment="1">
      <alignment horizontal="center"/>
    </xf>
    <xf numFmtId="174" fontId="0" fillId="0" borderId="49" xfId="0" applyNumberFormat="1" applyBorder="1"/>
    <xf numFmtId="9" fontId="0" fillId="0" borderId="49" xfId="0" applyNumberFormat="1" applyBorder="1" applyAlignment="1">
      <alignment horizontal="center"/>
    </xf>
    <xf numFmtId="0" fontId="27" fillId="0" borderId="49" xfId="0" applyFont="1" applyBorder="1" applyAlignment="1">
      <alignment horizontal="center"/>
    </xf>
    <xf numFmtId="174" fontId="27" fillId="0" borderId="49" xfId="0" applyNumberFormat="1" applyFont="1" applyBorder="1"/>
    <xf numFmtId="174" fontId="27" fillId="0" borderId="0" xfId="6" applyNumberFormat="1" applyFont="1"/>
    <xf numFmtId="174" fontId="0" fillId="0" borderId="49" xfId="0" applyNumberFormat="1" applyBorder="1" applyAlignment="1">
      <alignment horizontal="center"/>
    </xf>
    <xf numFmtId="10" fontId="27" fillId="0" borderId="0" xfId="0" applyNumberFormat="1" applyFont="1"/>
    <xf numFmtId="10" fontId="0" fillId="0" borderId="49" xfId="9" applyNumberFormat="1" applyFont="1" applyBorder="1"/>
    <xf numFmtId="9" fontId="0" fillId="0" borderId="49" xfId="9" applyFont="1" applyBorder="1"/>
    <xf numFmtId="10" fontId="0" fillId="0" borderId="49" xfId="0" applyNumberFormat="1" applyBorder="1"/>
    <xf numFmtId="0" fontId="0" fillId="0" borderId="49" xfId="0" applyFill="1" applyBorder="1"/>
    <xf numFmtId="174" fontId="0" fillId="0" borderId="49" xfId="6" applyNumberFormat="1" applyFont="1" applyFill="1" applyBorder="1"/>
    <xf numFmtId="9" fontId="0" fillId="0" borderId="49" xfId="9" applyFont="1" applyFill="1" applyBorder="1" applyAlignment="1">
      <alignment horizontal="center"/>
    </xf>
    <xf numFmtId="0" fontId="6" fillId="2" borderId="35" xfId="5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3" fontId="6" fillId="2" borderId="1" xfId="5" applyNumberFormat="1" applyFont="1" applyFill="1" applyBorder="1" applyAlignment="1">
      <alignment horizontal="center" vertical="center"/>
    </xf>
    <xf numFmtId="3" fontId="28" fillId="2" borderId="1" xfId="5" applyNumberFormat="1" applyFont="1" applyFill="1" applyBorder="1" applyAlignment="1">
      <alignment vertical="center"/>
    </xf>
    <xf numFmtId="0" fontId="29" fillId="2" borderId="1" xfId="5" applyFont="1" applyFill="1" applyBorder="1" applyAlignment="1">
      <alignment vertical="center"/>
    </xf>
    <xf numFmtId="3" fontId="6" fillId="2" borderId="1" xfId="5" applyNumberFormat="1" applyFont="1" applyFill="1" applyBorder="1" applyAlignment="1">
      <alignment horizontal="center" vertical="center" wrapText="1"/>
    </xf>
    <xf numFmtId="0" fontId="17" fillId="0" borderId="0" xfId="5" applyFont="1" applyFill="1"/>
    <xf numFmtId="3" fontId="6" fillId="0" borderId="0" xfId="5" applyNumberFormat="1" applyFont="1" applyFill="1" applyBorder="1" applyAlignment="1">
      <alignment horizontal="center" vertical="center" wrapText="1"/>
    </xf>
    <xf numFmtId="4" fontId="6" fillId="0" borderId="0" xfId="5" applyNumberFormat="1" applyFont="1" applyFill="1" applyBorder="1"/>
    <xf numFmtId="1" fontId="33" fillId="0" borderId="0" xfId="0" applyNumberFormat="1" applyFont="1" applyFill="1" applyBorder="1" applyAlignment="1" applyProtection="1">
      <alignment horizontal="left" vertical="center" wrapText="1"/>
    </xf>
    <xf numFmtId="3" fontId="8" fillId="2" borderId="49" xfId="5" applyNumberFormat="1" applyFont="1" applyFill="1" applyBorder="1" applyAlignment="1">
      <alignment horizontal="center" vertical="center" wrapText="1"/>
    </xf>
    <xf numFmtId="0" fontId="18" fillId="2" borderId="31" xfId="8" applyNumberFormat="1" applyFont="1" applyFill="1" applyBorder="1" applyAlignment="1" applyProtection="1">
      <alignment horizontal="left" vertical="center" wrapText="1"/>
      <protection hidden="1"/>
    </xf>
    <xf numFmtId="174" fontId="27" fillId="0" borderId="49" xfId="6" applyNumberFormat="1" applyFont="1" applyBorder="1"/>
    <xf numFmtId="174" fontId="27" fillId="0" borderId="0" xfId="6" applyNumberFormat="1" applyFont="1" applyAlignment="1">
      <alignment horizontal="center"/>
    </xf>
    <xf numFmtId="0" fontId="0" fillId="0" borderId="49" xfId="0" applyFill="1" applyBorder="1" applyAlignment="1">
      <alignment horizontal="center"/>
    </xf>
    <xf numFmtId="174" fontId="27" fillId="0" borderId="0" xfId="6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7" fillId="0" borderId="49" xfId="0" applyFont="1" applyFill="1" applyBorder="1" applyAlignment="1">
      <alignment horizontal="center"/>
    </xf>
    <xf numFmtId="0" fontId="27" fillId="0" borderId="49" xfId="0" applyFont="1" applyFill="1" applyBorder="1"/>
    <xf numFmtId="0" fontId="30" fillId="0" borderId="38" xfId="0" applyFont="1" applyFill="1" applyBorder="1" applyAlignment="1">
      <alignment horizontal="center" vertical="center"/>
    </xf>
    <xf numFmtId="0" fontId="30" fillId="0" borderId="39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174" fontId="22" fillId="0" borderId="77" xfId="6" applyNumberFormat="1" applyFont="1" applyFill="1" applyBorder="1" applyAlignment="1">
      <alignment horizontal="center"/>
    </xf>
    <xf numFmtId="167" fontId="4" fillId="0" borderId="49" xfId="0" applyNumberFormat="1" applyFont="1" applyFill="1" applyBorder="1" applyAlignment="1" applyProtection="1">
      <alignment horizontal="center"/>
    </xf>
    <xf numFmtId="173" fontId="22" fillId="0" borderId="29" xfId="7" applyNumberFormat="1" applyFont="1" applyFill="1" applyBorder="1"/>
    <xf numFmtId="169" fontId="31" fillId="0" borderId="1" xfId="0" applyNumberFormat="1" applyFont="1" applyFill="1" applyBorder="1" applyAlignment="1" applyProtection="1">
      <alignment horizontal="center"/>
    </xf>
    <xf numFmtId="2" fontId="4" fillId="0" borderId="49" xfId="0" applyNumberFormat="1" applyFont="1" applyFill="1" applyBorder="1" applyAlignment="1" applyProtection="1">
      <alignment horizontal="center"/>
    </xf>
    <xf numFmtId="0" fontId="24" fillId="0" borderId="4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/>
    </xf>
    <xf numFmtId="174" fontId="22" fillId="0" borderId="83" xfId="6" applyNumberFormat="1" applyFont="1" applyFill="1" applyBorder="1" applyAlignment="1">
      <alignment horizontal="center"/>
    </xf>
    <xf numFmtId="0" fontId="27" fillId="0" borderId="49" xfId="0" applyFont="1" applyBorder="1" applyAlignment="1">
      <alignment vertical="center"/>
    </xf>
    <xf numFmtId="0" fontId="27" fillId="11" borderId="49" xfId="0" applyFont="1" applyFill="1" applyBorder="1" applyAlignment="1">
      <alignment vertical="center"/>
    </xf>
    <xf numFmtId="0" fontId="0" fillId="0" borderId="49" xfId="0" applyBorder="1" applyAlignment="1">
      <alignment horizontal="center" vertical="center"/>
    </xf>
    <xf numFmtId="175" fontId="0" fillId="0" borderId="49" xfId="10" applyNumberFormat="1" applyFont="1" applyBorder="1" applyAlignment="1">
      <alignment horizontal="center" vertical="center"/>
    </xf>
    <xf numFmtId="0" fontId="30" fillId="8" borderId="38" xfId="0" applyFont="1" applyFill="1" applyBorder="1" applyAlignment="1">
      <alignment horizontal="center" vertical="center"/>
    </xf>
    <xf numFmtId="0" fontId="18" fillId="2" borderId="31" xfId="8" applyNumberFormat="1" applyFont="1" applyFill="1" applyBorder="1" applyAlignment="1" applyProtection="1">
      <alignment horizontal="left" vertical="center" wrapText="1"/>
      <protection hidden="1"/>
    </xf>
    <xf numFmtId="0" fontId="30" fillId="9" borderId="5" xfId="0" applyFont="1" applyFill="1" applyBorder="1" applyAlignment="1">
      <alignment horizontal="center" vertical="center"/>
    </xf>
    <xf numFmtId="43" fontId="0" fillId="0" borderId="84" xfId="6" applyNumberFormat="1" applyFont="1" applyBorder="1" applyAlignment="1">
      <alignment vertical="center"/>
    </xf>
    <xf numFmtId="0" fontId="13" fillId="0" borderId="60" xfId="0" applyFont="1" applyFill="1" applyBorder="1" applyAlignment="1">
      <alignment horizontal="left" vertical="center" wrapText="1"/>
    </xf>
    <xf numFmtId="0" fontId="13" fillId="0" borderId="75" xfId="0" applyFont="1" applyFill="1" applyBorder="1" applyAlignment="1">
      <alignment horizontal="left" vertical="center" wrapText="1"/>
    </xf>
    <xf numFmtId="0" fontId="24" fillId="0" borderId="43" xfId="0" applyFont="1" applyFill="1" applyBorder="1" applyAlignment="1">
      <alignment horizontal="left" vertical="center" wrapText="1"/>
    </xf>
    <xf numFmtId="0" fontId="13" fillId="0" borderId="74" xfId="0" applyFont="1" applyFill="1" applyBorder="1" applyAlignment="1">
      <alignment horizontal="left" vertical="center" wrapText="1"/>
    </xf>
    <xf numFmtId="0" fontId="0" fillId="0" borderId="84" xfId="0" applyBorder="1"/>
    <xf numFmtId="0" fontId="5" fillId="0" borderId="44" xfId="0" applyNumberFormat="1" applyFont="1" applyFill="1" applyBorder="1" applyAlignment="1" applyProtection="1">
      <alignment horizontal="left" wrapText="1"/>
    </xf>
    <xf numFmtId="0" fontId="0" fillId="0" borderId="84" xfId="0" applyBorder="1" applyAlignment="1">
      <alignment horizontal="center" vertical="center"/>
    </xf>
    <xf numFmtId="175" fontId="0" fillId="0" borderId="84" xfId="10" applyNumberFormat="1" applyFont="1" applyBorder="1" applyAlignment="1">
      <alignment vertical="center"/>
    </xf>
    <xf numFmtId="175" fontId="0" fillId="0" borderId="84" xfId="10" applyNumberFormat="1" applyFont="1" applyBorder="1" applyAlignment="1">
      <alignment horizontal="center" vertical="center"/>
    </xf>
    <xf numFmtId="0" fontId="27" fillId="0" borderId="49" xfId="0" applyFont="1" applyFill="1" applyBorder="1" applyAlignment="1">
      <alignment vertical="center"/>
    </xf>
    <xf numFmtId="175" fontId="0" fillId="0" borderId="0" xfId="0" applyNumberFormat="1"/>
    <xf numFmtId="0" fontId="0" fillId="0" borderId="0" xfId="0" applyAlignment="1">
      <alignment vertical="center"/>
    </xf>
    <xf numFmtId="0" fontId="35" fillId="0" borderId="49" xfId="0" applyFont="1" applyFill="1" applyBorder="1" applyAlignment="1">
      <alignment wrapText="1"/>
    </xf>
    <xf numFmtId="3" fontId="13" fillId="0" borderId="35" xfId="5" applyNumberFormat="1" applyFont="1" applyBorder="1" applyAlignment="1">
      <alignment horizontal="right"/>
    </xf>
    <xf numFmtId="3" fontId="6" fillId="2" borderId="1" xfId="5" applyNumberFormat="1" applyFont="1" applyFill="1" applyBorder="1" applyAlignment="1">
      <alignment horizontal="right" vertical="center"/>
    </xf>
    <xf numFmtId="3" fontId="17" fillId="0" borderId="0" xfId="5" applyNumberFormat="1" applyFont="1" applyAlignment="1">
      <alignment horizontal="right"/>
    </xf>
    <xf numFmtId="43" fontId="0" fillId="0" borderId="0" xfId="0" applyNumberFormat="1" applyAlignment="1">
      <alignment vertical="center"/>
    </xf>
    <xf numFmtId="176" fontId="17" fillId="0" borderId="0" xfId="5" applyNumberFormat="1" applyFont="1" applyAlignment="1">
      <alignment horizontal="center"/>
    </xf>
    <xf numFmtId="176" fontId="8" fillId="2" borderId="1" xfId="5" applyNumberFormat="1" applyFont="1" applyFill="1" applyBorder="1" applyAlignment="1">
      <alignment horizontal="center" vertical="center" wrapText="1"/>
    </xf>
    <xf numFmtId="3" fontId="39" fillId="0" borderId="35" xfId="5" applyNumberFormat="1" applyFont="1" applyBorder="1"/>
    <xf numFmtId="9" fontId="6" fillId="8" borderId="49" xfId="9" applyFont="1" applyFill="1" applyBorder="1" applyAlignment="1">
      <alignment horizontal="center" vertical="center"/>
    </xf>
    <xf numFmtId="176" fontId="6" fillId="8" borderId="49" xfId="9" applyNumberFormat="1" applyFont="1" applyFill="1" applyBorder="1" applyAlignment="1">
      <alignment horizontal="center" vertical="center"/>
    </xf>
    <xf numFmtId="0" fontId="4" fillId="0" borderId="0" xfId="5" applyFont="1" applyFill="1"/>
    <xf numFmtId="175" fontId="27" fillId="0" borderId="0" xfId="0" applyNumberFormat="1" applyFont="1" applyFill="1" applyBorder="1" applyAlignment="1">
      <alignment vertical="center"/>
    </xf>
    <xf numFmtId="0" fontId="43" fillId="11" borderId="49" xfId="0" applyFont="1" applyFill="1" applyBorder="1" applyAlignment="1">
      <alignment horizontal="center" vertical="center" wrapText="1"/>
    </xf>
    <xf numFmtId="175" fontId="40" fillId="0" borderId="49" xfId="0" applyNumberFormat="1" applyFont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42" fillId="0" borderId="49" xfId="0" applyFont="1" applyBorder="1" applyAlignment="1"/>
    <xf numFmtId="0" fontId="42" fillId="0" borderId="49" xfId="0" applyFont="1" applyBorder="1" applyAlignment="1">
      <alignment horizontal="center" vertical="center"/>
    </xf>
    <xf numFmtId="0" fontId="35" fillId="0" borderId="49" xfId="0" applyFont="1" applyBorder="1" applyAlignment="1">
      <alignment wrapText="1"/>
    </xf>
    <xf numFmtId="0" fontId="35" fillId="0" borderId="49" xfId="0" applyFont="1" applyBorder="1" applyAlignment="1">
      <alignment vertical="center" wrapText="1"/>
    </xf>
    <xf numFmtId="0" fontId="35" fillId="0" borderId="0" xfId="0" applyFont="1" applyBorder="1" applyAlignment="1">
      <alignment wrapText="1"/>
    </xf>
    <xf numFmtId="0" fontId="35" fillId="0" borderId="49" xfId="0" applyFont="1" applyBorder="1"/>
    <xf numFmtId="0" fontId="35" fillId="0" borderId="0" xfId="0" applyFont="1" applyBorder="1"/>
    <xf numFmtId="0" fontId="27" fillId="0" borderId="0" xfId="0" applyFont="1" applyFill="1" applyBorder="1"/>
    <xf numFmtId="0" fontId="27" fillId="0" borderId="0" xfId="0" applyFont="1" applyBorder="1"/>
    <xf numFmtId="0" fontId="43" fillId="0" borderId="0" xfId="0" applyFont="1" applyBorder="1"/>
    <xf numFmtId="164" fontId="45" fillId="0" borderId="0" xfId="10" applyFont="1" applyBorder="1" applyAlignment="1">
      <alignment wrapText="1"/>
    </xf>
    <xf numFmtId="0" fontId="43" fillId="0" borderId="49" xfId="0" applyFont="1" applyBorder="1" applyAlignment="1">
      <alignment vertical="center"/>
    </xf>
    <xf numFmtId="0" fontId="0" fillId="2" borderId="49" xfId="0" applyFill="1" applyBorder="1"/>
    <xf numFmtId="0" fontId="44" fillId="0" borderId="49" xfId="0" applyFont="1" applyBorder="1" applyAlignment="1"/>
    <xf numFmtId="0" fontId="42" fillId="2" borderId="49" xfId="0" applyFont="1" applyFill="1" applyBorder="1" applyAlignment="1"/>
    <xf numFmtId="0" fontId="42" fillId="0" borderId="49" xfId="0" applyFont="1" applyBorder="1" applyAlignment="1">
      <alignment horizontal="center" vertical="center" wrapText="1"/>
    </xf>
    <xf numFmtId="0" fontId="15" fillId="0" borderId="49" xfId="0" applyFont="1" applyFill="1" applyBorder="1"/>
    <xf numFmtId="0" fontId="46" fillId="0" borderId="49" xfId="0" applyFont="1" applyFill="1" applyBorder="1" applyAlignment="1"/>
    <xf numFmtId="0" fontId="47" fillId="0" borderId="49" xfId="0" applyFont="1" applyFill="1" applyBorder="1" applyAlignment="1"/>
    <xf numFmtId="175" fontId="45" fillId="0" borderId="49" xfId="10" applyNumberFormat="1" applyFont="1" applyBorder="1" applyAlignment="1">
      <alignment vertical="center" wrapText="1"/>
    </xf>
    <xf numFmtId="174" fontId="45" fillId="0" borderId="49" xfId="0" applyNumberFormat="1" applyFont="1" applyFill="1" applyBorder="1" applyAlignment="1">
      <alignment horizontal="left" vertical="center"/>
    </xf>
    <xf numFmtId="0" fontId="0" fillId="0" borderId="49" xfId="0" applyFont="1" applyFill="1" applyBorder="1" applyAlignment="1">
      <alignment wrapText="1"/>
    </xf>
    <xf numFmtId="0" fontId="9" fillId="0" borderId="49" xfId="0" applyFont="1" applyFill="1" applyBorder="1" applyAlignment="1">
      <alignment wrapText="1"/>
    </xf>
    <xf numFmtId="0" fontId="31" fillId="0" borderId="49" xfId="0" applyNumberFormat="1" applyFont="1" applyFill="1" applyBorder="1" applyAlignment="1" applyProtection="1">
      <alignment horizontal="left"/>
    </xf>
    <xf numFmtId="0" fontId="18" fillId="0" borderId="31" xfId="8" applyNumberFormat="1" applyFont="1" applyFill="1" applyBorder="1" applyAlignment="1" applyProtection="1">
      <alignment horizontal="left" vertical="center" wrapText="1"/>
      <protection hidden="1"/>
    </xf>
    <xf numFmtId="0" fontId="19" fillId="0" borderId="49" xfId="7" applyFont="1" applyFill="1" applyBorder="1" applyAlignment="1" applyProtection="1">
      <alignment horizontal="center"/>
      <protection hidden="1"/>
    </xf>
    <xf numFmtId="0" fontId="18" fillId="0" borderId="49" xfId="8" applyNumberFormat="1" applyFont="1" applyFill="1" applyBorder="1" applyAlignment="1" applyProtection="1">
      <alignment horizontal="center" vertical="center"/>
      <protection hidden="1"/>
    </xf>
    <xf numFmtId="0" fontId="13" fillId="0" borderId="66" xfId="0" applyFont="1" applyFill="1" applyBorder="1" applyAlignment="1">
      <alignment horizontal="left" vertical="center" wrapText="1"/>
    </xf>
    <xf numFmtId="0" fontId="0" fillId="0" borderId="49" xfId="0" applyFont="1" applyFill="1" applyBorder="1"/>
    <xf numFmtId="0" fontId="27" fillId="2" borderId="49" xfId="0" applyFont="1" applyFill="1" applyBorder="1" applyAlignment="1">
      <alignment horizontal="center"/>
    </xf>
    <xf numFmtId="0" fontId="40" fillId="11" borderId="49" xfId="0" applyFont="1" applyFill="1" applyBorder="1" applyAlignment="1">
      <alignment vertical="center"/>
    </xf>
    <xf numFmtId="0" fontId="40" fillId="11" borderId="49" xfId="0" applyFont="1" applyFill="1" applyBorder="1" applyAlignment="1">
      <alignment horizontal="center" vertical="center" wrapText="1"/>
    </xf>
    <xf numFmtId="0" fontId="40" fillId="11" borderId="84" xfId="0" applyFont="1" applyFill="1" applyBorder="1" applyAlignment="1">
      <alignment horizontal="center" vertical="center" wrapText="1"/>
    </xf>
    <xf numFmtId="0" fontId="9" fillId="0" borderId="49" xfId="0" applyFont="1" applyBorder="1"/>
    <xf numFmtId="174" fontId="9" fillId="0" borderId="49" xfId="6" applyNumberFormat="1" applyFont="1" applyBorder="1"/>
    <xf numFmtId="174" fontId="9" fillId="0" borderId="0" xfId="6" applyNumberFormat="1" applyFont="1"/>
    <xf numFmtId="174" fontId="40" fillId="0" borderId="49" xfId="6" applyNumberFormat="1" applyFont="1" applyBorder="1"/>
    <xf numFmtId="174" fontId="9" fillId="0" borderId="49" xfId="6" applyNumberFormat="1" applyFont="1" applyBorder="1" applyAlignment="1">
      <alignment vertical="center"/>
    </xf>
    <xf numFmtId="174" fontId="9" fillId="0" borderId="84" xfId="6" applyNumberFormat="1" applyFont="1" applyBorder="1" applyAlignment="1">
      <alignment vertical="center"/>
    </xf>
    <xf numFmtId="174" fontId="9" fillId="0" borderId="84" xfId="6" applyNumberFormat="1" applyFont="1" applyBorder="1"/>
    <xf numFmtId="174" fontId="9" fillId="0" borderId="49" xfId="6" applyNumberFormat="1" applyFont="1" applyBorder="1" applyAlignment="1">
      <alignment horizontal="center" vertical="center"/>
    </xf>
    <xf numFmtId="174" fontId="9" fillId="0" borderId="0" xfId="6" applyNumberFormat="1" applyFont="1" applyAlignment="1">
      <alignment horizontal="center"/>
    </xf>
    <xf numFmtId="174" fontId="9" fillId="0" borderId="49" xfId="6" applyNumberFormat="1" applyFont="1" applyBorder="1" applyAlignment="1">
      <alignment horizontal="center"/>
    </xf>
    <xf numFmtId="174" fontId="40" fillId="0" borderId="49" xfId="6" applyNumberFormat="1" applyFont="1" applyFill="1" applyBorder="1" applyAlignment="1">
      <alignment vertical="center"/>
    </xf>
    <xf numFmtId="175" fontId="40" fillId="11" borderId="49" xfId="0" applyNumberFormat="1" applyFont="1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175" fontId="45" fillId="0" borderId="0" xfId="1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Fill="1" applyBorder="1"/>
    <xf numFmtId="0" fontId="35" fillId="0" borderId="4" xfId="0" applyFont="1" applyBorder="1"/>
    <xf numFmtId="0" fontId="8" fillId="0" borderId="0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43" fontId="0" fillId="0" borderId="1" xfId="6" applyNumberFormat="1" applyFont="1" applyFill="1" applyBorder="1" applyAlignment="1">
      <alignment vertical="center"/>
    </xf>
    <xf numFmtId="43" fontId="0" fillId="0" borderId="84" xfId="6" applyNumberFormat="1" applyFont="1" applyFill="1" applyBorder="1" applyAlignment="1">
      <alignment vertical="center"/>
    </xf>
    <xf numFmtId="0" fontId="24" fillId="0" borderId="60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center" vertical="center"/>
    </xf>
    <xf numFmtId="43" fontId="0" fillId="0" borderId="49" xfId="6" applyNumberFormat="1" applyFont="1" applyFill="1" applyBorder="1" applyAlignment="1">
      <alignment vertical="center"/>
    </xf>
    <xf numFmtId="0" fontId="0" fillId="0" borderId="84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43" fontId="0" fillId="0" borderId="64" xfId="6" applyNumberFormat="1" applyFont="1" applyFill="1" applyBorder="1" applyAlignment="1">
      <alignment vertical="center"/>
    </xf>
    <xf numFmtId="43" fontId="0" fillId="0" borderId="66" xfId="6" applyNumberFormat="1" applyFont="1" applyFill="1" applyBorder="1" applyAlignment="1">
      <alignment vertical="center"/>
    </xf>
    <xf numFmtId="0" fontId="24" fillId="0" borderId="67" xfId="0" applyFont="1" applyFill="1" applyBorder="1" applyAlignment="1">
      <alignment horizontal="left" vertical="center" wrapText="1"/>
    </xf>
    <xf numFmtId="0" fontId="24" fillId="0" borderId="49" xfId="0" applyFont="1" applyFill="1" applyBorder="1" applyAlignment="1">
      <alignment horizontal="left" vertical="center" wrapText="1"/>
    </xf>
    <xf numFmtId="0" fontId="19" fillId="0" borderId="15" xfId="7" applyFont="1" applyFill="1" applyBorder="1" applyAlignment="1" applyProtection="1">
      <alignment horizontal="center"/>
      <protection hidden="1"/>
    </xf>
    <xf numFmtId="172" fontId="21" fillId="0" borderId="16" xfId="8" applyFont="1" applyFill="1" applyBorder="1" applyAlignment="1" applyProtection="1">
      <alignment horizontal="right" vertical="center"/>
      <protection hidden="1"/>
    </xf>
    <xf numFmtId="0" fontId="19" fillId="0" borderId="2" xfId="7" applyFont="1" applyFill="1" applyBorder="1" applyAlignment="1" applyProtection="1">
      <alignment horizontal="center"/>
      <protection hidden="1"/>
    </xf>
    <xf numFmtId="0" fontId="18" fillId="0" borderId="17" xfId="8" applyNumberFormat="1" applyFont="1" applyFill="1" applyBorder="1" applyAlignment="1" applyProtection="1">
      <alignment horizontal="center" vertical="center"/>
      <protection hidden="1"/>
    </xf>
    <xf numFmtId="0" fontId="5" fillId="0" borderId="55" xfId="0" applyNumberFormat="1" applyFont="1" applyFill="1" applyBorder="1" applyAlignment="1" applyProtection="1">
      <alignment horizontal="left"/>
    </xf>
    <xf numFmtId="0" fontId="5" fillId="0" borderId="45" xfId="0" applyNumberFormat="1" applyFont="1" applyFill="1" applyBorder="1" applyAlignment="1" applyProtection="1">
      <alignment horizontal="left"/>
    </xf>
    <xf numFmtId="0" fontId="22" fillId="0" borderId="2" xfId="7" applyFont="1" applyFill="1" applyBorder="1" applyAlignment="1"/>
    <xf numFmtId="0" fontId="22" fillId="0" borderId="4" xfId="7" applyFont="1" applyFill="1" applyBorder="1" applyAlignment="1"/>
    <xf numFmtId="0" fontId="22" fillId="0" borderId="81" xfId="7" applyFont="1" applyFill="1" applyBorder="1" applyAlignment="1">
      <alignment horizontal="center"/>
    </xf>
    <xf numFmtId="174" fontId="22" fillId="0" borderId="82" xfId="6" applyNumberFormat="1" applyFont="1" applyFill="1" applyBorder="1" applyAlignment="1">
      <alignment horizontal="center"/>
    </xf>
    <xf numFmtId="0" fontId="22" fillId="0" borderId="35" xfId="7" applyFont="1" applyFill="1" applyBorder="1" applyAlignment="1">
      <alignment horizontal="center"/>
    </xf>
    <xf numFmtId="169" fontId="4" fillId="0" borderId="42" xfId="0" applyNumberFormat="1" applyFont="1" applyFill="1" applyBorder="1" applyAlignment="1" applyProtection="1">
      <alignment horizontal="center"/>
    </xf>
    <xf numFmtId="4" fontId="8" fillId="0" borderId="49" xfId="5" applyNumberFormat="1" applyFont="1" applyFill="1" applyBorder="1"/>
    <xf numFmtId="4" fontId="6" fillId="0" borderId="49" xfId="5" applyNumberFormat="1" applyFont="1" applyFill="1" applyBorder="1"/>
    <xf numFmtId="4" fontId="4" fillId="0" borderId="49" xfId="5" applyNumberFormat="1" applyFont="1" applyFill="1" applyBorder="1"/>
    <xf numFmtId="4" fontId="13" fillId="0" borderId="49" xfId="5" applyNumberFormat="1" applyFont="1" applyFill="1" applyBorder="1"/>
    <xf numFmtId="1" fontId="33" fillId="0" borderId="49" xfId="0" applyNumberFormat="1" applyFont="1" applyFill="1" applyBorder="1" applyAlignment="1" applyProtection="1">
      <alignment horizontal="left" vertical="center" wrapText="1"/>
    </xf>
    <xf numFmtId="14" fontId="36" fillId="0" borderId="49" xfId="0" applyNumberFormat="1" applyFont="1" applyFill="1" applyBorder="1" applyAlignment="1" applyProtection="1">
      <alignment horizontal="left" vertical="center" wrapText="1"/>
    </xf>
    <xf numFmtId="14" fontId="37" fillId="0" borderId="49" xfId="0" applyNumberFormat="1" applyFont="1" applyFill="1" applyBorder="1" applyAlignment="1" applyProtection="1">
      <alignment horizontal="left" vertical="center" wrapText="1"/>
    </xf>
    <xf numFmtId="0" fontId="38" fillId="0" borderId="49" xfId="0" applyFont="1" applyBorder="1"/>
    <xf numFmtId="0" fontId="17" fillId="0" borderId="49" xfId="5" applyFont="1" applyFill="1" applyBorder="1"/>
    <xf numFmtId="14" fontId="34" fillId="0" borderId="49" xfId="0" applyNumberFormat="1" applyFont="1" applyFill="1" applyBorder="1" applyAlignment="1" applyProtection="1">
      <alignment horizontal="left" vertical="center" wrapText="1"/>
    </xf>
    <xf numFmtId="0" fontId="4" fillId="0" borderId="49" xfId="5" applyFont="1" applyFill="1" applyBorder="1"/>
    <xf numFmtId="0" fontId="19" fillId="0" borderId="49" xfId="7" applyFont="1" applyFill="1" applyBorder="1" applyAlignment="1"/>
    <xf numFmtId="0" fontId="19" fillId="0" borderId="49" xfId="7" applyFont="1" applyFill="1" applyBorder="1" applyAlignment="1">
      <alignment horizontal="center"/>
    </xf>
    <xf numFmtId="3" fontId="6" fillId="0" borderId="49" xfId="5" applyNumberFormat="1" applyFont="1" applyFill="1" applyBorder="1" applyAlignment="1">
      <alignment horizontal="right"/>
    </xf>
    <xf numFmtId="0" fontId="23" fillId="0" borderId="49" xfId="5" applyFont="1" applyFill="1" applyBorder="1"/>
    <xf numFmtId="3" fontId="6" fillId="0" borderId="49" xfId="5" applyNumberFormat="1" applyFont="1" applyFill="1" applyBorder="1" applyAlignment="1">
      <alignment horizontal="center"/>
    </xf>
    <xf numFmtId="3" fontId="28" fillId="0" borderId="49" xfId="5" applyNumberFormat="1" applyFont="1" applyFill="1" applyBorder="1"/>
    <xf numFmtId="0" fontId="29" fillId="0" borderId="49" xfId="5" applyFont="1" applyFill="1" applyBorder="1"/>
    <xf numFmtId="0" fontId="0" fillId="0" borderId="48" xfId="0" applyFont="1" applyFill="1" applyBorder="1"/>
    <xf numFmtId="0" fontId="0" fillId="0" borderId="5" xfId="0" applyFont="1" applyFill="1" applyBorder="1" applyAlignment="1">
      <alignment horizontal="center"/>
    </xf>
    <xf numFmtId="0" fontId="13" fillId="0" borderId="5" xfId="5" applyFont="1" applyFill="1" applyBorder="1"/>
    <xf numFmtId="3" fontId="0" fillId="0" borderId="5" xfId="0" applyNumberFormat="1" applyFont="1" applyFill="1" applyBorder="1" applyAlignment="1">
      <alignment horizontal="right"/>
    </xf>
    <xf numFmtId="3" fontId="13" fillId="0" borderId="5" xfId="5" applyNumberFormat="1" applyFont="1" applyFill="1" applyBorder="1"/>
    <xf numFmtId="176" fontId="13" fillId="0" borderId="5" xfId="5" applyNumberFormat="1" applyFont="1" applyFill="1" applyBorder="1" applyAlignment="1">
      <alignment horizontal="center"/>
    </xf>
    <xf numFmtId="3" fontId="15" fillId="0" borderId="5" xfId="5" applyNumberFormat="1" applyFont="1" applyFill="1" applyBorder="1"/>
    <xf numFmtId="4" fontId="13" fillId="0" borderId="5" xfId="5" applyNumberFormat="1" applyFont="1" applyFill="1" applyBorder="1"/>
    <xf numFmtId="0" fontId="0" fillId="0" borderId="55" xfId="0" applyFont="1" applyFill="1" applyBorder="1"/>
    <xf numFmtId="0" fontId="0" fillId="0" borderId="35" xfId="0" applyFont="1" applyFill="1" applyBorder="1" applyAlignment="1">
      <alignment horizontal="center"/>
    </xf>
    <xf numFmtId="0" fontId="13" fillId="0" borderId="35" xfId="5" applyFont="1" applyFill="1" applyBorder="1"/>
    <xf numFmtId="3" fontId="0" fillId="0" borderId="35" xfId="0" applyNumberFormat="1" applyFont="1" applyFill="1" applyBorder="1" applyAlignment="1">
      <alignment horizontal="right"/>
    </xf>
    <xf numFmtId="3" fontId="13" fillId="0" borderId="30" xfId="5" applyNumberFormat="1" applyFont="1" applyFill="1" applyBorder="1"/>
    <xf numFmtId="3" fontId="15" fillId="0" borderId="35" xfId="5" applyNumberFormat="1" applyFont="1" applyFill="1" applyBorder="1"/>
    <xf numFmtId="0" fontId="0" fillId="0" borderId="54" xfId="0" applyFont="1" applyFill="1" applyBorder="1"/>
    <xf numFmtId="0" fontId="0" fillId="0" borderId="45" xfId="0" applyFont="1" applyFill="1" applyBorder="1"/>
    <xf numFmtId="0" fontId="0" fillId="0" borderId="45" xfId="0" applyFont="1" applyFill="1" applyBorder="1" applyAlignment="1"/>
    <xf numFmtId="0" fontId="31" fillId="0" borderId="35" xfId="0" applyNumberFormat="1" applyFont="1" applyFill="1" applyBorder="1" applyAlignment="1" applyProtection="1">
      <alignment horizontal="center"/>
    </xf>
    <xf numFmtId="3" fontId="13" fillId="0" borderId="35" xfId="5" applyNumberFormat="1" applyFont="1" applyFill="1" applyBorder="1" applyAlignment="1">
      <alignment horizontal="right"/>
    </xf>
    <xf numFmtId="0" fontId="31" fillId="0" borderId="45" xfId="0" applyNumberFormat="1" applyFont="1" applyFill="1" applyBorder="1" applyAlignment="1" applyProtection="1">
      <alignment horizontal="left"/>
    </xf>
    <xf numFmtId="0" fontId="0" fillId="0" borderId="57" xfId="0" applyFont="1" applyFill="1" applyBorder="1"/>
    <xf numFmtId="0" fontId="13" fillId="0" borderId="55" xfId="0" applyFont="1" applyFill="1" applyBorder="1" applyAlignment="1">
      <alignment horizontal="left" vertical="center" wrapText="1"/>
    </xf>
    <xf numFmtId="0" fontId="31" fillId="0" borderId="54" xfId="0" applyNumberFormat="1" applyFont="1" applyFill="1" applyBorder="1" applyAlignment="1" applyProtection="1">
      <alignment horizontal="left"/>
    </xf>
    <xf numFmtId="0" fontId="0" fillId="0" borderId="58" xfId="0" applyFont="1" applyFill="1" applyBorder="1"/>
    <xf numFmtId="0" fontId="31" fillId="0" borderId="58" xfId="0" applyNumberFormat="1" applyFont="1" applyFill="1" applyBorder="1" applyAlignment="1" applyProtection="1">
      <alignment horizontal="left"/>
    </xf>
    <xf numFmtId="0" fontId="0" fillId="0" borderId="44" xfId="0" applyFont="1" applyFill="1" applyBorder="1"/>
    <xf numFmtId="0" fontId="31" fillId="0" borderId="48" xfId="0" applyNumberFormat="1" applyFont="1" applyFill="1" applyBorder="1" applyAlignment="1" applyProtection="1">
      <alignment horizontal="left"/>
    </xf>
    <xf numFmtId="0" fontId="31" fillId="0" borderId="50" xfId="7" applyFont="1" applyFill="1" applyBorder="1" applyAlignment="1">
      <alignment horizontal="left"/>
    </xf>
    <xf numFmtId="0" fontId="31" fillId="0" borderId="46" xfId="0" applyNumberFormat="1" applyFont="1" applyFill="1" applyBorder="1" applyAlignment="1" applyProtection="1">
      <alignment horizontal="left"/>
    </xf>
    <xf numFmtId="0" fontId="0" fillId="0" borderId="46" xfId="0" applyFont="1" applyFill="1" applyBorder="1"/>
    <xf numFmtId="0" fontId="31" fillId="0" borderId="49" xfId="0" applyNumberFormat="1" applyFont="1" applyFill="1" applyBorder="1" applyAlignment="1" applyProtection="1">
      <alignment horizontal="center"/>
    </xf>
    <xf numFmtId="3" fontId="13" fillId="0" borderId="49" xfId="5" applyNumberFormat="1" applyFont="1" applyFill="1" applyBorder="1" applyAlignment="1">
      <alignment horizontal="right"/>
    </xf>
    <xf numFmtId="0" fontId="0" fillId="0" borderId="49" xfId="0" applyFont="1" applyFill="1" applyBorder="1" applyAlignment="1">
      <alignment horizontal="center"/>
    </xf>
    <xf numFmtId="0" fontId="13" fillId="0" borderId="49" xfId="5" applyFont="1" applyFill="1" applyBorder="1"/>
    <xf numFmtId="3" fontId="0" fillId="0" borderId="49" xfId="0" applyNumberFormat="1" applyFont="1" applyFill="1" applyBorder="1" applyAlignment="1">
      <alignment horizontal="right"/>
    </xf>
    <xf numFmtId="3" fontId="13" fillId="0" borderId="49" xfId="5" applyNumberFormat="1" applyFont="1" applyFill="1" applyBorder="1"/>
    <xf numFmtId="3" fontId="15" fillId="0" borderId="49" xfId="5" applyNumberFormat="1" applyFont="1" applyFill="1" applyBorder="1"/>
    <xf numFmtId="0" fontId="0" fillId="0" borderId="66" xfId="0" applyFont="1" applyFill="1" applyBorder="1"/>
    <xf numFmtId="0" fontId="0" fillId="0" borderId="66" xfId="0" applyFont="1" applyFill="1" applyBorder="1" applyAlignment="1">
      <alignment horizontal="center"/>
    </xf>
    <xf numFmtId="0" fontId="13" fillId="0" borderId="66" xfId="5" applyFont="1" applyFill="1" applyBorder="1"/>
    <xf numFmtId="3" fontId="13" fillId="0" borderId="66" xfId="5" applyNumberFormat="1" applyFont="1" applyFill="1" applyBorder="1"/>
    <xf numFmtId="0" fontId="31" fillId="0" borderId="66" xfId="7" applyFont="1" applyFill="1" applyBorder="1" applyAlignment="1">
      <alignment horizontal="left"/>
    </xf>
    <xf numFmtId="0" fontId="31" fillId="0" borderId="66" xfId="0" applyNumberFormat="1" applyFont="1" applyFill="1" applyBorder="1" applyAlignment="1" applyProtection="1">
      <alignment horizontal="center"/>
    </xf>
    <xf numFmtId="3" fontId="0" fillId="0" borderId="66" xfId="0" applyNumberFormat="1" applyFont="1" applyFill="1" applyBorder="1" applyAlignment="1">
      <alignment horizontal="right"/>
    </xf>
    <xf numFmtId="0" fontId="31" fillId="0" borderId="66" xfId="0" applyNumberFormat="1" applyFont="1" applyFill="1" applyBorder="1" applyAlignment="1" applyProtection="1">
      <alignment horizontal="left"/>
    </xf>
    <xf numFmtId="3" fontId="13" fillId="0" borderId="66" xfId="5" applyNumberFormat="1" applyFont="1" applyFill="1" applyBorder="1" applyAlignment="1">
      <alignment horizontal="right"/>
    </xf>
    <xf numFmtId="0" fontId="13" fillId="0" borderId="49" xfId="0" applyFont="1" applyFill="1" applyBorder="1"/>
    <xf numFmtId="0" fontId="13" fillId="0" borderId="66" xfId="0" applyFont="1" applyFill="1" applyBorder="1" applyAlignment="1">
      <alignment horizontal="center"/>
    </xf>
    <xf numFmtId="3" fontId="13" fillId="0" borderId="66" xfId="0" applyNumberFormat="1" applyFont="1" applyFill="1" applyBorder="1" applyAlignment="1">
      <alignment horizontal="right"/>
    </xf>
    <xf numFmtId="3" fontId="13" fillId="0" borderId="35" xfId="5" applyNumberFormat="1" applyFont="1" applyFill="1" applyBorder="1"/>
    <xf numFmtId="0" fontId="0" fillId="0" borderId="75" xfId="0" applyFont="1" applyFill="1" applyBorder="1"/>
    <xf numFmtId="0" fontId="31" fillId="0" borderId="74" xfId="0" applyNumberFormat="1" applyFont="1" applyFill="1" applyBorder="1" applyAlignment="1" applyProtection="1">
      <alignment horizontal="left"/>
    </xf>
    <xf numFmtId="0" fontId="6" fillId="0" borderId="49" xfId="5" applyFont="1" applyFill="1" applyBorder="1" applyAlignment="1">
      <alignment horizontal="center" vertical="center"/>
    </xf>
    <xf numFmtId="3" fontId="6" fillId="0" borderId="49" xfId="5" applyNumberFormat="1" applyFont="1" applyFill="1" applyBorder="1" applyAlignment="1">
      <alignment horizontal="right" vertical="center"/>
    </xf>
    <xf numFmtId="3" fontId="28" fillId="0" borderId="49" xfId="5" applyNumberFormat="1" applyFont="1" applyFill="1" applyBorder="1" applyAlignment="1">
      <alignment vertical="center"/>
    </xf>
    <xf numFmtId="0" fontId="29" fillId="0" borderId="49" xfId="5" applyFont="1" applyFill="1" applyBorder="1" applyAlignment="1">
      <alignment vertical="center"/>
    </xf>
    <xf numFmtId="3" fontId="6" fillId="0" borderId="49" xfId="5" applyNumberFormat="1" applyFont="1" applyFill="1" applyBorder="1" applyAlignment="1">
      <alignment horizontal="center" vertical="center" wrapText="1"/>
    </xf>
    <xf numFmtId="3" fontId="8" fillId="0" borderId="49" xfId="5" applyNumberFormat="1" applyFont="1" applyFill="1" applyBorder="1" applyAlignment="1">
      <alignment horizontal="center" vertical="center" wrapText="1"/>
    </xf>
    <xf numFmtId="4" fontId="6" fillId="8" borderId="49" xfId="9" applyNumberFormat="1" applyFont="1" applyFill="1" applyBorder="1" applyAlignment="1">
      <alignment horizontal="center"/>
    </xf>
    <xf numFmtId="0" fontId="0" fillId="0" borderId="0" xfId="0" applyFont="1"/>
    <xf numFmtId="174" fontId="0" fillId="0" borderId="49" xfId="0" applyNumberFormat="1" applyFont="1" applyBorder="1"/>
    <xf numFmtId="0" fontId="0" fillId="0" borderId="49" xfId="0" applyFont="1" applyBorder="1"/>
    <xf numFmtId="175" fontId="0" fillId="0" borderId="0" xfId="10" applyNumberFormat="1" applyFont="1" applyBorder="1"/>
    <xf numFmtId="175" fontId="0" fillId="0" borderId="0" xfId="0" applyNumberFormat="1" applyBorder="1"/>
    <xf numFmtId="174" fontId="0" fillId="0" borderId="0" xfId="6" applyNumberFormat="1" applyFont="1" applyBorder="1"/>
    <xf numFmtId="0" fontId="48" fillId="0" borderId="0" xfId="0" applyFont="1" applyAlignment="1">
      <alignment horizontal="left" vertical="center"/>
    </xf>
    <xf numFmtId="0" fontId="49" fillId="0" borderId="0" xfId="0" applyFont="1"/>
    <xf numFmtId="0" fontId="26" fillId="2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 wrapText="1"/>
    </xf>
    <xf numFmtId="175" fontId="22" fillId="0" borderId="85" xfId="10" applyNumberFormat="1" applyFont="1" applyFill="1" applyBorder="1" applyAlignment="1">
      <alignment horizontal="center" vertical="center"/>
    </xf>
    <xf numFmtId="175" fontId="22" fillId="0" borderId="86" xfId="10" applyNumberFormat="1" applyFont="1" applyFill="1" applyBorder="1" applyAlignment="1">
      <alignment horizontal="center" vertical="center"/>
    </xf>
    <xf numFmtId="175" fontId="22" fillId="0" borderId="87" xfId="10" applyNumberFormat="1" applyFont="1" applyFill="1" applyBorder="1" applyAlignment="1">
      <alignment horizontal="center" vertical="center"/>
    </xf>
    <xf numFmtId="175" fontId="22" fillId="0" borderId="2" xfId="10" applyNumberFormat="1" applyFont="1" applyFill="1" applyBorder="1" applyAlignment="1">
      <alignment horizontal="center" vertical="center"/>
    </xf>
    <xf numFmtId="175" fontId="19" fillId="2" borderId="2" xfId="10" applyNumberFormat="1" applyFont="1" applyFill="1" applyBorder="1" applyAlignment="1">
      <alignment horizontal="center" vertical="center"/>
    </xf>
    <xf numFmtId="0" fontId="18" fillId="2" borderId="31" xfId="8" applyNumberFormat="1" applyFont="1" applyFill="1" applyBorder="1" applyAlignment="1" applyProtection="1">
      <alignment horizontal="left" vertical="center" wrapText="1"/>
      <protection hidden="1"/>
    </xf>
    <xf numFmtId="0" fontId="30" fillId="0" borderId="0" xfId="0" applyFont="1"/>
    <xf numFmtId="0" fontId="0" fillId="0" borderId="2" xfId="0" applyBorder="1" applyAlignment="1">
      <alignment horizontal="center"/>
    </xf>
    <xf numFmtId="0" fontId="26" fillId="0" borderId="88" xfId="0" applyFont="1" applyFill="1" applyBorder="1" applyAlignment="1">
      <alignment vertical="center"/>
    </xf>
    <xf numFmtId="174" fontId="22" fillId="0" borderId="88" xfId="6" applyNumberFormat="1" applyFont="1" applyFill="1" applyBorder="1" applyAlignment="1">
      <alignment horizontal="center" vertical="center"/>
    </xf>
    <xf numFmtId="175" fontId="22" fillId="0" borderId="88" xfId="10" applyNumberFormat="1" applyFont="1" applyFill="1" applyBorder="1" applyAlignment="1">
      <alignment horizontal="center" vertical="center"/>
    </xf>
    <xf numFmtId="0" fontId="13" fillId="0" borderId="88" xfId="0" applyFont="1" applyBorder="1" applyAlignment="1">
      <alignment horizontal="left" vertical="center" wrapText="1"/>
    </xf>
    <xf numFmtId="0" fontId="4" fillId="0" borderId="88" xfId="0" applyFont="1" applyFill="1" applyBorder="1" applyAlignment="1">
      <alignment horizontal="center" vertical="center"/>
    </xf>
    <xf numFmtId="0" fontId="26" fillId="2" borderId="88" xfId="0" applyFont="1" applyFill="1" applyBorder="1" applyAlignment="1">
      <alignment vertical="center"/>
    </xf>
    <xf numFmtId="0" fontId="26" fillId="2" borderId="88" xfId="0" applyFont="1" applyFill="1" applyBorder="1" applyAlignment="1">
      <alignment horizontal="left" vertical="center"/>
    </xf>
    <xf numFmtId="0" fontId="4" fillId="2" borderId="88" xfId="0" applyFont="1" applyFill="1" applyBorder="1" applyAlignment="1"/>
    <xf numFmtId="175" fontId="19" fillId="2" borderId="88" xfId="10" applyNumberFormat="1" applyFont="1" applyFill="1" applyBorder="1" applyAlignment="1">
      <alignment horizontal="center" vertical="center"/>
    </xf>
    <xf numFmtId="174" fontId="22" fillId="0" borderId="0" xfId="6" applyNumberFormat="1" applyFont="1" applyFill="1" applyBorder="1" applyAlignment="1">
      <alignment horizontal="center"/>
    </xf>
    <xf numFmtId="175" fontId="22" fillId="0" borderId="0" xfId="10" applyNumberFormat="1" applyFont="1" applyFill="1" applyBorder="1" applyAlignment="1">
      <alignment horizontal="center" vertical="center"/>
    </xf>
    <xf numFmtId="0" fontId="26" fillId="2" borderId="88" xfId="0" applyFont="1" applyFill="1" applyBorder="1" applyAlignment="1">
      <alignment vertical="center" wrapText="1"/>
    </xf>
    <xf numFmtId="174" fontId="22" fillId="2" borderId="88" xfId="6" applyNumberFormat="1" applyFont="1" applyFill="1" applyBorder="1" applyAlignment="1">
      <alignment horizontal="center"/>
    </xf>
    <xf numFmtId="175" fontId="22" fillId="2" borderId="88" xfId="10" applyNumberFormat="1" applyFont="1" applyFill="1" applyBorder="1" applyAlignment="1">
      <alignment horizontal="center" vertical="center"/>
    </xf>
    <xf numFmtId="174" fontId="22" fillId="0" borderId="88" xfId="6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174" fontId="22" fillId="0" borderId="5" xfId="6" applyNumberFormat="1" applyFont="1" applyFill="1" applyBorder="1" applyAlignment="1">
      <alignment horizontal="center"/>
    </xf>
    <xf numFmtId="0" fontId="4" fillId="0" borderId="5" xfId="0" applyFont="1" applyFill="1" applyBorder="1" applyAlignment="1"/>
    <xf numFmtId="175" fontId="22" fillId="0" borderId="5" xfId="1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88" xfId="0" applyFont="1" applyFill="1" applyBorder="1" applyAlignment="1"/>
    <xf numFmtId="0" fontId="26" fillId="2" borderId="49" xfId="0" applyFont="1" applyFill="1" applyBorder="1" applyAlignment="1">
      <alignment vertical="center" wrapText="1"/>
    </xf>
    <xf numFmtId="0" fontId="0" fillId="0" borderId="88" xfId="0" applyFill="1" applyBorder="1"/>
    <xf numFmtId="0" fontId="0" fillId="0" borderId="88" xfId="0" applyBorder="1"/>
    <xf numFmtId="0" fontId="27" fillId="0" borderId="88" xfId="0" applyFont="1" applyBorder="1" applyAlignment="1">
      <alignment horizontal="center"/>
    </xf>
    <xf numFmtId="175" fontId="27" fillId="0" borderId="88" xfId="10" applyNumberFormat="1" applyFont="1" applyBorder="1"/>
    <xf numFmtId="0" fontId="22" fillId="0" borderId="47" xfId="7" applyFont="1" applyFill="1" applyBorder="1" applyAlignment="1">
      <alignment horizontal="center"/>
    </xf>
    <xf numFmtId="167" fontId="5" fillId="0" borderId="88" xfId="0" applyNumberFormat="1" applyFont="1" applyFill="1" applyBorder="1" applyAlignment="1" applyProtection="1">
      <alignment horizontal="center"/>
    </xf>
    <xf numFmtId="174" fontId="22" fillId="0" borderId="47" xfId="6" applyNumberFormat="1" applyFont="1" applyFill="1" applyBorder="1" applyAlignment="1">
      <alignment horizontal="center"/>
    </xf>
    <xf numFmtId="0" fontId="0" fillId="8" borderId="49" xfId="0" applyFont="1" applyFill="1" applyBorder="1" applyAlignment="1">
      <alignment wrapText="1"/>
    </xf>
    <xf numFmtId="0" fontId="0" fillId="8" borderId="66" xfId="0" applyFont="1" applyFill="1" applyBorder="1" applyAlignment="1">
      <alignment horizontal="center"/>
    </xf>
    <xf numFmtId="0" fontId="13" fillId="8" borderId="66" xfId="5" applyFont="1" applyFill="1" applyBorder="1"/>
    <xf numFmtId="3" fontId="0" fillId="8" borderId="66" xfId="0" applyNumberFormat="1" applyFont="1" applyFill="1" applyBorder="1" applyAlignment="1">
      <alignment horizontal="right"/>
    </xf>
    <xf numFmtId="3" fontId="13" fillId="8" borderId="66" xfId="5" applyNumberFormat="1" applyFont="1" applyFill="1" applyBorder="1"/>
    <xf numFmtId="176" fontId="13" fillId="8" borderId="5" xfId="5" applyNumberFormat="1" applyFont="1" applyFill="1" applyBorder="1" applyAlignment="1">
      <alignment horizontal="center"/>
    </xf>
    <xf numFmtId="3" fontId="15" fillId="8" borderId="35" xfId="5" applyNumberFormat="1" applyFont="1" applyFill="1" applyBorder="1"/>
    <xf numFmtId="0" fontId="13" fillId="8" borderId="35" xfId="5" applyFont="1" applyFill="1" applyBorder="1"/>
    <xf numFmtId="4" fontId="13" fillId="8" borderId="5" xfId="5" applyNumberFormat="1" applyFont="1" applyFill="1" applyBorder="1"/>
    <xf numFmtId="0" fontId="4" fillId="8" borderId="49" xfId="5" applyFont="1" applyFill="1" applyBorder="1"/>
    <xf numFmtId="0" fontId="18" fillId="0" borderId="0" xfId="8" applyNumberFormat="1" applyFont="1" applyFill="1" applyBorder="1" applyAlignment="1" applyProtection="1">
      <alignment vertical="center" wrapText="1"/>
      <protection hidden="1"/>
    </xf>
    <xf numFmtId="0" fontId="13" fillId="0" borderId="74" xfId="0" applyFont="1" applyBorder="1" applyAlignment="1">
      <alignment horizontal="justify" vertical="center" wrapText="1"/>
    </xf>
    <xf numFmtId="174" fontId="22" fillId="0" borderId="21" xfId="6" applyNumberFormat="1" applyFont="1" applyFill="1" applyBorder="1" applyAlignment="1">
      <alignment horizontal="center" vertical="center"/>
    </xf>
    <xf numFmtId="0" fontId="27" fillId="0" borderId="88" xfId="0" applyFont="1" applyFill="1" applyBorder="1" applyAlignment="1">
      <alignment horizontal="left"/>
    </xf>
    <xf numFmtId="0" fontId="0" fillId="0" borderId="49" xfId="0" applyBorder="1" applyAlignment="1">
      <alignment vertical="center"/>
    </xf>
    <xf numFmtId="0" fontId="35" fillId="0" borderId="49" xfId="0" applyFont="1" applyBorder="1" applyAlignment="1">
      <alignment vertical="center"/>
    </xf>
    <xf numFmtId="0" fontId="0" fillId="0" borderId="49" xfId="0" applyBorder="1" applyAlignment="1">
      <alignment horizontal="center" vertical="center" wrapText="1"/>
    </xf>
    <xf numFmtId="0" fontId="26" fillId="0" borderId="74" xfId="0" applyFont="1" applyFill="1" applyBorder="1" applyAlignment="1">
      <alignment vertical="center"/>
    </xf>
    <xf numFmtId="0" fontId="0" fillId="0" borderId="88" xfId="0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175" fontId="22" fillId="0" borderId="74" xfId="1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24" fillId="0" borderId="88" xfId="0" applyFont="1" applyBorder="1" applyAlignment="1">
      <alignment horizontal="left" vertical="center" wrapText="1"/>
    </xf>
    <xf numFmtId="0" fontId="13" fillId="0" borderId="88" xfId="0" applyFont="1" applyFill="1" applyBorder="1" applyAlignment="1">
      <alignment horizontal="left" vertical="center" wrapText="1"/>
    </xf>
    <xf numFmtId="0" fontId="25" fillId="0" borderId="88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justify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0" fillId="0" borderId="88" xfId="0" applyFont="1" applyBorder="1" applyAlignment="1">
      <alignment horizontal="center" vertical="center"/>
    </xf>
    <xf numFmtId="0" fontId="0" fillId="0" borderId="88" xfId="0" applyBorder="1" applyAlignment="1">
      <alignment vertical="center"/>
    </xf>
    <xf numFmtId="164" fontId="0" fillId="0" borderId="88" xfId="10" applyFont="1" applyBorder="1" applyAlignment="1">
      <alignment vertical="center"/>
    </xf>
    <xf numFmtId="175" fontId="0" fillId="0" borderId="88" xfId="0" applyNumberFormat="1" applyBorder="1" applyAlignment="1">
      <alignment vertical="center"/>
    </xf>
    <xf numFmtId="0" fontId="0" fillId="2" borderId="88" xfId="0" applyFill="1" applyBorder="1"/>
    <xf numFmtId="0" fontId="27" fillId="2" borderId="88" xfId="0" applyFont="1" applyFill="1" applyBorder="1"/>
    <xf numFmtId="0" fontId="27" fillId="0" borderId="88" xfId="0" applyFont="1" applyBorder="1" applyAlignment="1">
      <alignment vertical="center"/>
    </xf>
    <xf numFmtId="0" fontId="26" fillId="2" borderId="89" xfId="0" applyFont="1" applyFill="1" applyBorder="1" applyAlignment="1">
      <alignment vertical="center" wrapText="1"/>
    </xf>
    <xf numFmtId="0" fontId="25" fillId="0" borderId="89" xfId="0" applyFont="1" applyFill="1" applyBorder="1" applyAlignment="1">
      <alignment horizontal="center" vertical="center" wrapText="1"/>
    </xf>
    <xf numFmtId="175" fontId="22" fillId="0" borderId="91" xfId="10" applyNumberFormat="1" applyFont="1" applyFill="1" applyBorder="1" applyAlignment="1">
      <alignment horizontal="center" vertical="center"/>
    </xf>
    <xf numFmtId="175" fontId="22" fillId="0" borderId="92" xfId="10" applyNumberFormat="1" applyFont="1" applyFill="1" applyBorder="1" applyAlignment="1">
      <alignment horizontal="center" vertical="center"/>
    </xf>
    <xf numFmtId="0" fontId="0" fillId="0" borderId="49" xfId="0" applyBorder="1" applyAlignment="1">
      <alignment wrapText="1"/>
    </xf>
    <xf numFmtId="0" fontId="0" fillId="2" borderId="2" xfId="0" applyFill="1" applyBorder="1"/>
    <xf numFmtId="0" fontId="0" fillId="2" borderId="49" xfId="0" applyFill="1" applyBorder="1" applyAlignment="1">
      <alignment wrapText="1"/>
    </xf>
    <xf numFmtId="174" fontId="9" fillId="0" borderId="49" xfId="6" applyNumberFormat="1" applyFont="1" applyFill="1" applyBorder="1" applyAlignment="1">
      <alignment horizontal="center" vertical="center"/>
    </xf>
    <xf numFmtId="177" fontId="9" fillId="0" borderId="84" xfId="6" applyNumberFormat="1" applyFont="1" applyFill="1" applyBorder="1" applyAlignment="1">
      <alignment horizontal="right" vertical="center"/>
    </xf>
    <xf numFmtId="0" fontId="27" fillId="0" borderId="49" xfId="0" applyFont="1" applyBorder="1" applyAlignment="1">
      <alignment wrapText="1"/>
    </xf>
    <xf numFmtId="0" fontId="0" fillId="0" borderId="0" xfId="0" applyFill="1" applyAlignment="1">
      <alignment vertical="center"/>
    </xf>
    <xf numFmtId="0" fontId="42" fillId="0" borderId="0" xfId="0" applyFont="1"/>
    <xf numFmtId="0" fontId="0" fillId="0" borderId="2" xfId="0" applyFill="1" applyBorder="1" applyAlignment="1">
      <alignment horizontal="center"/>
    </xf>
    <xf numFmtId="174" fontId="27" fillId="0" borderId="49" xfId="0" applyNumberFormat="1" applyFont="1" applyFill="1" applyBorder="1"/>
    <xf numFmtId="0" fontId="0" fillId="0" borderId="0" xfId="0" applyFill="1" applyAlignment="1">
      <alignment horizontal="center"/>
    </xf>
    <xf numFmtId="0" fontId="9" fillId="0" borderId="0" xfId="0" applyNumberFormat="1" applyFont="1"/>
    <xf numFmtId="0" fontId="50" fillId="2" borderId="49" xfId="0" applyFont="1" applyFill="1" applyBorder="1" applyAlignment="1"/>
    <xf numFmtId="0" fontId="50" fillId="0" borderId="49" xfId="0" applyFont="1" applyBorder="1" applyAlignment="1"/>
    <xf numFmtId="0" fontId="50" fillId="0" borderId="49" xfId="0" applyNumberFormat="1" applyFont="1" applyBorder="1" applyAlignment="1">
      <alignment horizontal="center" vertical="center" wrapText="1"/>
    </xf>
    <xf numFmtId="0" fontId="9" fillId="0" borderId="84" xfId="0" applyNumberFormat="1" applyFont="1" applyBorder="1" applyAlignment="1">
      <alignment horizontal="center"/>
    </xf>
    <xf numFmtId="0" fontId="9" fillId="0" borderId="84" xfId="0" applyNumberFormat="1" applyFont="1" applyBorder="1"/>
    <xf numFmtId="0" fontId="51" fillId="0" borderId="49" xfId="0" applyFont="1" applyFill="1" applyBorder="1" applyAlignment="1"/>
    <xf numFmtId="0" fontId="9" fillId="0" borderId="84" xfId="0" applyNumberFormat="1" applyFont="1" applyBorder="1" applyAlignment="1">
      <alignment vertical="center"/>
    </xf>
    <xf numFmtId="0" fontId="35" fillId="0" borderId="49" xfId="0" applyFont="1" applyFill="1" applyBorder="1" applyAlignment="1">
      <alignment vertical="center"/>
    </xf>
    <xf numFmtId="0" fontId="35" fillId="0" borderId="49" xfId="0" applyFont="1" applyFill="1" applyBorder="1" applyAlignment="1">
      <alignment vertical="center" wrapText="1"/>
    </xf>
    <xf numFmtId="0" fontId="9" fillId="0" borderId="84" xfId="0" applyNumberFormat="1" applyFont="1" applyBorder="1" applyAlignment="1">
      <alignment horizontal="center" vertical="center"/>
    </xf>
    <xf numFmtId="0" fontId="9" fillId="0" borderId="84" xfId="0" applyNumberFormat="1" applyFont="1" applyFill="1" applyBorder="1" applyAlignment="1">
      <alignment horizontal="center" vertical="center"/>
    </xf>
    <xf numFmtId="0" fontId="0" fillId="0" borderId="49" xfId="0" applyFill="1" applyBorder="1" applyAlignment="1">
      <alignment vertical="center" wrapText="1"/>
    </xf>
    <xf numFmtId="0" fontId="9" fillId="0" borderId="84" xfId="0" applyNumberFormat="1" applyFont="1" applyBorder="1" applyAlignment="1">
      <alignment horizontal="center" vertical="center" wrapText="1"/>
    </xf>
    <xf numFmtId="174" fontId="45" fillId="0" borderId="84" xfId="0" applyNumberFormat="1" applyFont="1" applyFill="1" applyBorder="1" applyAlignment="1">
      <alignment horizontal="left" vertical="center"/>
    </xf>
    <xf numFmtId="175" fontId="45" fillId="0" borderId="84" xfId="10" applyNumberFormat="1" applyFont="1" applyBorder="1" applyAlignment="1">
      <alignment vertical="center" wrapText="1"/>
    </xf>
    <xf numFmtId="0" fontId="0" fillId="0" borderId="84" xfId="0" applyBorder="1" applyAlignment="1">
      <alignment horizontal="center"/>
    </xf>
    <xf numFmtId="0" fontId="0" fillId="0" borderId="84" xfId="0" applyFill="1" applyBorder="1" applyAlignment="1">
      <alignment vertical="center"/>
    </xf>
    <xf numFmtId="0" fontId="35" fillId="0" borderId="84" xfId="0" applyFont="1" applyFill="1" applyBorder="1" applyAlignment="1">
      <alignment vertical="center"/>
    </xf>
    <xf numFmtId="0" fontId="35" fillId="0" borderId="84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0" fontId="9" fillId="0" borderId="0" xfId="0" applyNumberFormat="1" applyFont="1" applyBorder="1" applyAlignment="1">
      <alignment horizontal="center" vertical="center"/>
    </xf>
    <xf numFmtId="0" fontId="27" fillId="2" borderId="84" xfId="0" applyFont="1" applyFill="1" applyBorder="1" applyAlignment="1">
      <alignment horizontal="center"/>
    </xf>
    <xf numFmtId="0" fontId="42" fillId="2" borderId="84" xfId="0" applyFont="1" applyFill="1" applyBorder="1" applyAlignment="1"/>
    <xf numFmtId="0" fontId="50" fillId="2" borderId="84" xfId="0" applyFont="1" applyFill="1" applyBorder="1" applyAlignment="1"/>
    <xf numFmtId="0" fontId="44" fillId="0" borderId="84" xfId="0" applyFont="1" applyBorder="1" applyAlignment="1"/>
    <xf numFmtId="0" fontId="42" fillId="0" borderId="84" xfId="0" applyFont="1" applyBorder="1" applyAlignment="1"/>
    <xf numFmtId="0" fontId="50" fillId="0" borderId="84" xfId="0" applyFont="1" applyBorder="1" applyAlignment="1"/>
    <xf numFmtId="0" fontId="42" fillId="0" borderId="84" xfId="0" applyFont="1" applyBorder="1" applyAlignment="1">
      <alignment horizontal="center" vertical="center"/>
    </xf>
    <xf numFmtId="0" fontId="42" fillId="0" borderId="84" xfId="0" applyFont="1" applyBorder="1" applyAlignment="1">
      <alignment horizontal="center" vertical="center" wrapText="1"/>
    </xf>
    <xf numFmtId="0" fontId="50" fillId="0" borderId="84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4" xfId="0" applyFill="1" applyBorder="1" applyAlignment="1">
      <alignment vertical="center" wrapText="1"/>
    </xf>
    <xf numFmtId="0" fontId="35" fillId="0" borderId="84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0" fillId="0" borderId="84" xfId="0" applyFill="1" applyBorder="1"/>
    <xf numFmtId="0" fontId="35" fillId="0" borderId="84" xfId="0" applyFont="1" applyBorder="1"/>
    <xf numFmtId="0" fontId="35" fillId="0" borderId="84" xfId="0" applyFont="1" applyBorder="1" applyAlignment="1">
      <alignment wrapText="1"/>
    </xf>
    <xf numFmtId="174" fontId="45" fillId="12" borderId="49" xfId="0" applyNumberFormat="1" applyFont="1" applyFill="1" applyBorder="1" applyAlignment="1">
      <alignment horizontal="left" vertical="center"/>
    </xf>
    <xf numFmtId="0" fontId="27" fillId="2" borderId="49" xfId="0" applyFont="1" applyFill="1" applyBorder="1" applyAlignment="1"/>
    <xf numFmtId="0" fontId="45" fillId="2" borderId="49" xfId="0" applyFont="1" applyFill="1" applyBorder="1" applyAlignment="1">
      <alignment vertical="center"/>
    </xf>
    <xf numFmtId="0" fontId="9" fillId="0" borderId="0" xfId="0" applyNumberFormat="1" applyFont="1" applyBorder="1"/>
    <xf numFmtId="0" fontId="45" fillId="2" borderId="84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/>
    </xf>
    <xf numFmtId="174" fontId="4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/>
    <xf numFmtId="0" fontId="0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2" borderId="89" xfId="0" applyFont="1" applyFill="1" applyBorder="1" applyAlignment="1">
      <alignment vertical="center"/>
    </xf>
    <xf numFmtId="0" fontId="53" fillId="2" borderId="93" xfId="0" applyFont="1" applyFill="1" applyBorder="1" applyAlignment="1">
      <alignment vertical="center"/>
    </xf>
    <xf numFmtId="0" fontId="53" fillId="2" borderId="88" xfId="0" applyFont="1" applyFill="1" applyBorder="1" applyAlignment="1">
      <alignment horizontal="center" vertical="center"/>
    </xf>
    <xf numFmtId="0" fontId="53" fillId="0" borderId="89" xfId="0" applyFont="1" applyFill="1" applyBorder="1" applyAlignment="1">
      <alignment vertical="center"/>
    </xf>
    <xf numFmtId="0" fontId="53" fillId="0" borderId="93" xfId="0" applyFont="1" applyFill="1" applyBorder="1" applyAlignment="1">
      <alignment vertical="center"/>
    </xf>
    <xf numFmtId="0" fontId="53" fillId="0" borderId="88" xfId="0" applyFont="1" applyFill="1" applyBorder="1" applyAlignment="1">
      <alignment horizontal="center" vertical="center"/>
    </xf>
    <xf numFmtId="0" fontId="44" fillId="2" borderId="88" xfId="0" applyFont="1" applyFill="1" applyBorder="1" applyAlignment="1">
      <alignment vertical="center"/>
    </xf>
    <xf numFmtId="0" fontId="0" fillId="2" borderId="88" xfId="0" applyFont="1" applyFill="1" applyBorder="1" applyAlignment="1">
      <alignment vertical="center"/>
    </xf>
    <xf numFmtId="0" fontId="52" fillId="0" borderId="88" xfId="0" applyNumberFormat="1" applyFont="1" applyBorder="1" applyAlignment="1">
      <alignment horizontal="left" vertical="center" wrapText="1"/>
    </xf>
    <xf numFmtId="0" fontId="0" fillId="0" borderId="88" xfId="0" applyFont="1" applyBorder="1" applyAlignment="1">
      <alignment vertical="center"/>
    </xf>
    <xf numFmtId="0" fontId="52" fillId="0" borderId="88" xfId="0" applyNumberFormat="1" applyFont="1" applyBorder="1" applyAlignment="1">
      <alignment horizontal="left" vertical="center"/>
    </xf>
    <xf numFmtId="0" fontId="0" fillId="2" borderId="88" xfId="0" applyFont="1" applyFill="1" applyBorder="1" applyAlignment="1">
      <alignment horizontal="center" vertical="center"/>
    </xf>
    <xf numFmtId="0" fontId="52" fillId="0" borderId="88" xfId="0" applyFont="1" applyBorder="1" applyAlignment="1">
      <alignment vertical="center"/>
    </xf>
    <xf numFmtId="0" fontId="9" fillId="0" borderId="88" xfId="0" applyNumberFormat="1" applyFont="1" applyBorder="1"/>
    <xf numFmtId="0" fontId="9" fillId="0" borderId="88" xfId="0" applyNumberFormat="1" applyFont="1" applyBorder="1" applyAlignment="1">
      <alignment horizontal="left" vertical="center"/>
    </xf>
    <xf numFmtId="0" fontId="0" fillId="0" borderId="88" xfId="0" applyFont="1" applyBorder="1"/>
    <xf numFmtId="0" fontId="53" fillId="3" borderId="89" xfId="0" applyFont="1" applyFill="1" applyBorder="1" applyAlignment="1">
      <alignment vertical="center"/>
    </xf>
    <xf numFmtId="0" fontId="53" fillId="3" borderId="93" xfId="0" applyFont="1" applyFill="1" applyBorder="1" applyAlignment="1">
      <alignment vertical="center"/>
    </xf>
    <xf numFmtId="0" fontId="53" fillId="3" borderId="88" xfId="0" applyFont="1" applyFill="1" applyBorder="1" applyAlignment="1">
      <alignment horizontal="center" vertical="center"/>
    </xf>
    <xf numFmtId="0" fontId="44" fillId="2" borderId="88" xfId="0" applyFont="1" applyFill="1" applyBorder="1" applyAlignment="1">
      <alignment vertical="center" wrapText="1"/>
    </xf>
    <xf numFmtId="0" fontId="52" fillId="0" borderId="0" xfId="0" applyNumberFormat="1" applyFont="1" applyBorder="1" applyAlignment="1">
      <alignment horizontal="left" vertical="center" wrapText="1"/>
    </xf>
    <xf numFmtId="0" fontId="52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44" fillId="0" borderId="93" xfId="0" applyFont="1" applyFill="1" applyBorder="1" applyAlignment="1">
      <alignment vertical="center"/>
    </xf>
    <xf numFmtId="0" fontId="0" fillId="0" borderId="88" xfId="0" applyFont="1" applyFill="1" applyBorder="1" applyAlignment="1">
      <alignment vertical="center"/>
    </xf>
    <xf numFmtId="0" fontId="44" fillId="0" borderId="88" xfId="0" applyFont="1" applyFill="1" applyBorder="1" applyAlignment="1">
      <alignment vertical="center"/>
    </xf>
    <xf numFmtId="174" fontId="45" fillId="0" borderId="88" xfId="0" applyNumberFormat="1" applyFont="1" applyFill="1" applyBorder="1" applyAlignment="1">
      <alignment horizontal="left" vertical="center"/>
    </xf>
    <xf numFmtId="175" fontId="0" fillId="0" borderId="88" xfId="10" applyNumberFormat="1" applyFont="1" applyFill="1" applyBorder="1" applyAlignment="1">
      <alignment vertical="center"/>
    </xf>
    <xf numFmtId="0" fontId="52" fillId="0" borderId="88" xfId="0" applyNumberFormat="1" applyFont="1" applyFill="1" applyBorder="1" applyAlignment="1">
      <alignment horizontal="left" vertical="center" wrapText="1"/>
    </xf>
    <xf numFmtId="175" fontId="0" fillId="0" borderId="88" xfId="10" applyNumberFormat="1" applyFont="1" applyFill="1" applyBorder="1"/>
    <xf numFmtId="175" fontId="0" fillId="0" borderId="88" xfId="10" applyNumberFormat="1" applyFont="1" applyFill="1" applyBorder="1" applyAlignment="1">
      <alignment horizontal="center" vertical="center"/>
    </xf>
    <xf numFmtId="0" fontId="44" fillId="0" borderId="88" xfId="0" applyFont="1" applyFill="1" applyBorder="1" applyAlignment="1">
      <alignment vertical="center" wrapText="1"/>
    </xf>
    <xf numFmtId="0" fontId="52" fillId="0" borderId="88" xfId="0" applyFont="1" applyFill="1" applyBorder="1" applyAlignment="1">
      <alignment vertical="center"/>
    </xf>
    <xf numFmtId="0" fontId="44" fillId="0" borderId="88" xfId="0" applyFont="1" applyFill="1" applyBorder="1" applyAlignment="1">
      <alignment horizontal="center" vertical="center"/>
    </xf>
    <xf numFmtId="175" fontId="27" fillId="0" borderId="88" xfId="10" applyNumberFormat="1" applyFont="1" applyFill="1" applyBorder="1"/>
    <xf numFmtId="0" fontId="42" fillId="0" borderId="88" xfId="0" applyFont="1" applyFill="1" applyBorder="1" applyAlignment="1">
      <alignment vertical="center" wrapText="1"/>
    </xf>
    <xf numFmtId="0" fontId="42" fillId="0" borderId="88" xfId="0" applyFont="1" applyFill="1" applyBorder="1" applyAlignment="1">
      <alignment vertical="center"/>
    </xf>
    <xf numFmtId="0" fontId="0" fillId="0" borderId="88" xfId="0" applyNumberFormat="1" applyFont="1" applyBorder="1" applyAlignment="1">
      <alignment horizontal="left" vertical="center"/>
    </xf>
    <xf numFmtId="0" fontId="0" fillId="0" borderId="88" xfId="0" applyFill="1" applyBorder="1" applyAlignment="1">
      <alignment horizontal="center"/>
    </xf>
    <xf numFmtId="0" fontId="42" fillId="0" borderId="88" xfId="0" applyFont="1" applyBorder="1"/>
    <xf numFmtId="0" fontId="42" fillId="0" borderId="88" xfId="0" applyFont="1" applyBorder="1" applyAlignment="1">
      <alignment horizontal="center"/>
    </xf>
    <xf numFmtId="174" fontId="42" fillId="0" borderId="88" xfId="6" applyNumberFormat="1" applyFont="1" applyBorder="1"/>
    <xf numFmtId="0" fontId="42" fillId="0" borderId="88" xfId="0" applyFont="1" applyFill="1" applyBorder="1"/>
    <xf numFmtId="0" fontId="42" fillId="0" borderId="88" xfId="0" applyFont="1" applyFill="1" applyBorder="1" applyAlignment="1">
      <alignment horizontal="center"/>
    </xf>
    <xf numFmtId="174" fontId="42" fillId="0" borderId="88" xfId="6" applyNumberFormat="1" applyFont="1" applyFill="1" applyBorder="1"/>
    <xf numFmtId="0" fontId="0" fillId="0" borderId="88" xfId="0" applyFill="1" applyBorder="1" applyAlignment="1">
      <alignment horizontal="justify" wrapText="1"/>
    </xf>
    <xf numFmtId="174" fontId="0" fillId="0" borderId="88" xfId="6" applyNumberFormat="1" applyFont="1" applyFill="1" applyBorder="1"/>
    <xf numFmtId="174" fontId="0" fillId="0" borderId="88" xfId="0" applyNumberFormat="1" applyFill="1" applyBorder="1"/>
    <xf numFmtId="0" fontId="42" fillId="0" borderId="88" xfId="0" applyFont="1" applyFill="1" applyBorder="1" applyAlignment="1">
      <alignment horizontal="justify" wrapText="1"/>
    </xf>
    <xf numFmtId="0" fontId="0" fillId="0" borderId="88" xfId="0" applyFill="1" applyBorder="1" applyAlignment="1">
      <alignment horizontal="center" vertical="center"/>
    </xf>
    <xf numFmtId="174" fontId="0" fillId="0" borderId="88" xfId="6" applyNumberFormat="1" applyFont="1" applyFill="1" applyBorder="1" applyAlignment="1">
      <alignment vertical="center"/>
    </xf>
    <xf numFmtId="174" fontId="0" fillId="0" borderId="88" xfId="0" applyNumberFormat="1" applyFill="1" applyBorder="1" applyAlignment="1">
      <alignment vertical="center"/>
    </xf>
    <xf numFmtId="0" fontId="0" fillId="0" borderId="88" xfId="0" applyBorder="1" applyAlignment="1">
      <alignment wrapText="1"/>
    </xf>
    <xf numFmtId="0" fontId="0" fillId="0" borderId="88" xfId="0" applyBorder="1" applyAlignment="1">
      <alignment horizontal="center"/>
    </xf>
    <xf numFmtId="174" fontId="0" fillId="0" borderId="88" xfId="6" applyNumberFormat="1" applyFont="1" applyBorder="1"/>
    <xf numFmtId="174" fontId="0" fillId="0" borderId="88" xfId="0" applyNumberFormat="1" applyBorder="1"/>
    <xf numFmtId="0" fontId="42" fillId="0" borderId="88" xfId="0" applyFont="1" applyFill="1" applyBorder="1" applyAlignment="1">
      <alignment wrapText="1"/>
    </xf>
    <xf numFmtId="174" fontId="42" fillId="0" borderId="88" xfId="0" applyNumberFormat="1" applyFont="1" applyBorder="1"/>
    <xf numFmtId="9" fontId="42" fillId="0" borderId="88" xfId="9" applyFont="1" applyBorder="1" applyAlignment="1">
      <alignment horizontal="center"/>
    </xf>
    <xf numFmtId="0" fontId="44" fillId="0" borderId="88" xfId="0" applyNumberFormat="1" applyFont="1" applyFill="1" applyBorder="1" applyAlignment="1">
      <alignment horizontal="left" vertical="center" wrapText="1"/>
    </xf>
    <xf numFmtId="0" fontId="27" fillId="0" borderId="88" xfId="0" applyFont="1" applyFill="1" applyBorder="1" applyAlignment="1">
      <alignment vertical="center"/>
    </xf>
    <xf numFmtId="0" fontId="27" fillId="0" borderId="88" xfId="0" applyFont="1" applyFill="1" applyBorder="1" applyAlignment="1">
      <alignment horizontal="center" vertical="center"/>
    </xf>
    <xf numFmtId="175" fontId="27" fillId="0" borderId="88" xfId="10" applyNumberFormat="1" applyFont="1" applyFill="1" applyBorder="1" applyAlignment="1">
      <alignment horizontal="center" vertical="center"/>
    </xf>
    <xf numFmtId="0" fontId="44" fillId="11" borderId="88" xfId="0" applyNumberFormat="1" applyFont="1" applyFill="1" applyBorder="1" applyAlignment="1">
      <alignment horizontal="left" vertical="center" wrapText="1"/>
    </xf>
    <xf numFmtId="0" fontId="44" fillId="11" borderId="88" xfId="0" applyFont="1" applyFill="1" applyBorder="1" applyAlignment="1">
      <alignment vertical="center"/>
    </xf>
    <xf numFmtId="0" fontId="27" fillId="11" borderId="88" xfId="0" applyFont="1" applyFill="1" applyBorder="1" applyAlignment="1">
      <alignment vertical="center"/>
    </xf>
    <xf numFmtId="0" fontId="27" fillId="11" borderId="88" xfId="0" applyFont="1" applyFill="1" applyBorder="1" applyAlignment="1">
      <alignment horizontal="center" vertical="center"/>
    </xf>
    <xf numFmtId="175" fontId="27" fillId="11" borderId="88" xfId="10" applyNumberFormat="1" applyFont="1" applyFill="1" applyBorder="1" applyAlignment="1">
      <alignment horizontal="center" vertical="center"/>
    </xf>
    <xf numFmtId="0" fontId="44" fillId="2" borderId="88" xfId="0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/>
    </xf>
    <xf numFmtId="174" fontId="9" fillId="0" borderId="84" xfId="6" applyNumberFormat="1" applyFont="1" applyFill="1" applyBorder="1" applyAlignment="1">
      <alignment horizontal="center" vertical="center"/>
    </xf>
    <xf numFmtId="174" fontId="9" fillId="0" borderId="49" xfId="6" applyNumberFormat="1" applyFont="1" applyFill="1" applyBorder="1" applyAlignment="1">
      <alignment vertical="center"/>
    </xf>
    <xf numFmtId="174" fontId="9" fillId="0" borderId="84" xfId="6" applyNumberFormat="1" applyFont="1" applyFill="1" applyBorder="1" applyAlignment="1">
      <alignment vertical="center"/>
    </xf>
    <xf numFmtId="174" fontId="9" fillId="0" borderId="84" xfId="6" applyNumberFormat="1" applyFont="1" applyFill="1" applyBorder="1"/>
    <xf numFmtId="174" fontId="9" fillId="0" borderId="49" xfId="6" applyNumberFormat="1" applyFont="1" applyFill="1" applyBorder="1"/>
    <xf numFmtId="164" fontId="0" fillId="0" borderId="0" xfId="10" applyFont="1"/>
    <xf numFmtId="0" fontId="6" fillId="5" borderId="1" xfId="0" applyNumberFormat="1" applyFont="1" applyFill="1" applyBorder="1" applyAlignment="1" applyProtection="1">
      <alignment horizontal="left"/>
    </xf>
    <xf numFmtId="0" fontId="27" fillId="0" borderId="49" xfId="0" applyFont="1" applyBorder="1" applyAlignment="1">
      <alignment horizontal="left" vertical="center"/>
    </xf>
    <xf numFmtId="0" fontId="27" fillId="11" borderId="49" xfId="0" applyFont="1" applyFill="1" applyBorder="1" applyAlignment="1">
      <alignment horizontal="center" vertical="center"/>
    </xf>
    <xf numFmtId="0" fontId="44" fillId="2" borderId="89" xfId="0" applyFont="1" applyFill="1" applyBorder="1" applyAlignment="1">
      <alignment horizontal="center" vertical="center"/>
    </xf>
    <xf numFmtId="0" fontId="44" fillId="2" borderId="93" xfId="0" applyFont="1" applyFill="1" applyBorder="1" applyAlignment="1">
      <alignment horizontal="center" vertical="center"/>
    </xf>
    <xf numFmtId="0" fontId="44" fillId="2" borderId="90" xfId="0" applyFont="1" applyFill="1" applyBorder="1" applyAlignment="1">
      <alignment horizontal="center" vertical="center"/>
    </xf>
    <xf numFmtId="0" fontId="44" fillId="0" borderId="88" xfId="0" applyFont="1" applyFill="1" applyBorder="1" applyAlignment="1">
      <alignment horizontal="center" vertical="center"/>
    </xf>
    <xf numFmtId="0" fontId="53" fillId="2" borderId="89" xfId="0" applyFont="1" applyFill="1" applyBorder="1" applyAlignment="1">
      <alignment horizontal="center" vertical="center" wrapText="1"/>
    </xf>
    <xf numFmtId="0" fontId="53" fillId="2" borderId="93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27" fillId="0" borderId="88" xfId="0" applyFont="1" applyFill="1" applyBorder="1" applyAlignment="1">
      <alignment horizontal="left"/>
    </xf>
    <xf numFmtId="0" fontId="27" fillId="2" borderId="88" xfId="0" applyFont="1" applyFill="1" applyBorder="1" applyAlignment="1">
      <alignment horizontal="center"/>
    </xf>
    <xf numFmtId="0" fontId="8" fillId="0" borderId="89" xfId="0" applyFont="1" applyFill="1" applyBorder="1" applyAlignment="1">
      <alignment horizontal="right" vertical="center"/>
    </xf>
    <xf numFmtId="0" fontId="8" fillId="0" borderId="90" xfId="0" applyFont="1" applyFill="1" applyBorder="1" applyAlignment="1">
      <alignment horizontal="right" vertical="center"/>
    </xf>
    <xf numFmtId="0" fontId="8" fillId="0" borderId="93" xfId="0" applyFont="1" applyFill="1" applyBorder="1" applyAlignment="1">
      <alignment horizontal="right" vertical="center"/>
    </xf>
    <xf numFmtId="0" fontId="8" fillId="0" borderId="84" xfId="0" applyFont="1" applyFill="1" applyBorder="1" applyAlignment="1">
      <alignment horizontal="right" vertical="center"/>
    </xf>
    <xf numFmtId="0" fontId="8" fillId="0" borderId="94" xfId="0" applyFont="1" applyFill="1" applyBorder="1" applyAlignment="1">
      <alignment horizontal="right" vertical="center"/>
    </xf>
    <xf numFmtId="0" fontId="8" fillId="0" borderId="95" xfId="0" applyFont="1" applyFill="1" applyBorder="1" applyAlignment="1">
      <alignment horizontal="right" vertical="center"/>
    </xf>
    <xf numFmtId="0" fontId="8" fillId="0" borderId="96" xfId="0" applyFont="1" applyFill="1" applyBorder="1" applyAlignment="1">
      <alignment horizontal="right" vertical="center"/>
    </xf>
    <xf numFmtId="0" fontId="27" fillId="12" borderId="49" xfId="0" applyFont="1" applyFill="1" applyBorder="1" applyAlignment="1">
      <alignment horizontal="center"/>
    </xf>
    <xf numFmtId="0" fontId="27" fillId="12" borderId="49" xfId="0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9" xfId="0" applyBorder="1" applyAlignment="1">
      <alignment horizontal="center" vertical="center" wrapText="1"/>
    </xf>
    <xf numFmtId="0" fontId="26" fillId="0" borderId="66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68" xfId="0" applyFont="1" applyFill="1" applyBorder="1" applyAlignment="1">
      <alignment horizontal="center" vertical="center" wrapText="1"/>
    </xf>
    <xf numFmtId="0" fontId="26" fillId="0" borderId="70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26" fillId="0" borderId="67" xfId="0" applyFont="1" applyFill="1" applyBorder="1" applyAlignment="1">
      <alignment horizontal="center" vertical="center" wrapText="1"/>
    </xf>
    <xf numFmtId="0" fontId="26" fillId="0" borderId="89" xfId="0" applyFont="1" applyFill="1" applyBorder="1" applyAlignment="1">
      <alignment horizontal="left" vertical="center" wrapText="1"/>
    </xf>
    <xf numFmtId="0" fontId="26" fillId="0" borderId="90" xfId="0" applyFont="1" applyFill="1" applyBorder="1" applyAlignment="1">
      <alignment horizontal="center" vertical="center" wrapText="1"/>
    </xf>
    <xf numFmtId="0" fontId="22" fillId="0" borderId="27" xfId="7" applyFont="1" applyFill="1" applyBorder="1" applyAlignment="1">
      <alignment horizontal="left"/>
    </xf>
    <xf numFmtId="0" fontId="22" fillId="0" borderId="28" xfId="7" applyFont="1" applyFill="1" applyBorder="1" applyAlignment="1">
      <alignment horizontal="left"/>
    </xf>
    <xf numFmtId="0" fontId="22" fillId="0" borderId="35" xfId="7" applyFont="1" applyFill="1" applyBorder="1" applyAlignment="1">
      <alignment horizontal="left"/>
    </xf>
    <xf numFmtId="0" fontId="22" fillId="0" borderId="24" xfId="7" applyFont="1" applyFill="1" applyBorder="1" applyAlignment="1">
      <alignment horizontal="center"/>
    </xf>
    <xf numFmtId="0" fontId="22" fillId="0" borderId="25" xfId="7" applyFont="1" applyFill="1" applyBorder="1" applyAlignment="1">
      <alignment horizontal="center"/>
    </xf>
    <xf numFmtId="0" fontId="22" fillId="0" borderId="26" xfId="7" applyFont="1" applyFill="1" applyBorder="1" applyAlignment="1">
      <alignment horizontal="center"/>
    </xf>
    <xf numFmtId="0" fontId="18" fillId="2" borderId="32" xfId="8" applyNumberFormat="1" applyFont="1" applyFill="1" applyBorder="1" applyAlignment="1" applyProtection="1">
      <alignment horizontal="left" vertical="center" wrapText="1"/>
      <protection hidden="1"/>
    </xf>
    <xf numFmtId="0" fontId="18" fillId="2" borderId="33" xfId="8" applyNumberFormat="1" applyFont="1" applyFill="1" applyBorder="1" applyAlignment="1" applyProtection="1">
      <alignment horizontal="left" vertical="center" wrapText="1"/>
      <protection hidden="1"/>
    </xf>
    <xf numFmtId="0" fontId="18" fillId="2" borderId="31" xfId="8" applyNumberFormat="1" applyFont="1" applyFill="1" applyBorder="1" applyAlignment="1" applyProtection="1">
      <alignment horizontal="left" vertical="center" wrapText="1"/>
      <protection hidden="1"/>
    </xf>
    <xf numFmtId="0" fontId="18" fillId="2" borderId="34" xfId="8" applyNumberFormat="1" applyFont="1" applyFill="1" applyBorder="1" applyAlignment="1" applyProtection="1">
      <alignment horizontal="left" vertical="center" wrapText="1"/>
      <protection hidden="1"/>
    </xf>
    <xf numFmtId="0" fontId="18" fillId="0" borderId="32" xfId="8" applyNumberFormat="1" applyFont="1" applyFill="1" applyBorder="1" applyAlignment="1" applyProtection="1">
      <alignment horizontal="left" vertical="center" wrapText="1"/>
      <protection hidden="1"/>
    </xf>
    <xf numFmtId="0" fontId="18" fillId="0" borderId="33" xfId="8" applyNumberFormat="1" applyFont="1" applyFill="1" applyBorder="1" applyAlignment="1" applyProtection="1">
      <alignment horizontal="left" vertical="center" wrapText="1"/>
      <protection hidden="1"/>
    </xf>
    <xf numFmtId="0" fontId="18" fillId="0" borderId="31" xfId="8" applyNumberFormat="1" applyFont="1" applyFill="1" applyBorder="1" applyAlignment="1" applyProtection="1">
      <alignment horizontal="left" vertical="center" wrapText="1"/>
      <protection hidden="1"/>
    </xf>
    <xf numFmtId="0" fontId="18" fillId="0" borderId="34" xfId="8" applyNumberFormat="1" applyFont="1" applyFill="1" applyBorder="1" applyAlignment="1" applyProtection="1">
      <alignment horizontal="left" vertical="center" wrapText="1"/>
      <protection hidden="1"/>
    </xf>
    <xf numFmtId="0" fontId="18" fillId="2" borderId="49" xfId="8" applyNumberFormat="1" applyFont="1" applyFill="1" applyBorder="1" applyAlignment="1" applyProtection="1">
      <alignment horizontal="left" vertical="center" wrapText="1"/>
      <protection hidden="1"/>
    </xf>
    <xf numFmtId="0" fontId="22" fillId="0" borderId="49" xfId="7" applyFont="1" applyFill="1" applyBorder="1" applyAlignment="1">
      <alignment horizontal="left"/>
    </xf>
    <xf numFmtId="0" fontId="22" fillId="0" borderId="71" xfId="7" applyFont="1" applyFill="1" applyBorder="1" applyAlignment="1">
      <alignment horizontal="center"/>
    </xf>
    <xf numFmtId="0" fontId="22" fillId="0" borderId="31" xfId="7" applyFont="1" applyFill="1" applyBorder="1" applyAlignment="1">
      <alignment horizontal="center"/>
    </xf>
    <xf numFmtId="0" fontId="22" fillId="0" borderId="34" xfId="7" applyFont="1" applyFill="1" applyBorder="1" applyAlignment="1">
      <alignment horizontal="center"/>
    </xf>
    <xf numFmtId="0" fontId="22" fillId="0" borderId="78" xfId="7" applyFont="1" applyFill="1" applyBorder="1" applyAlignment="1">
      <alignment horizontal="left"/>
    </xf>
    <xf numFmtId="0" fontId="22" fillId="0" borderId="79" xfId="7" applyFont="1" applyFill="1" applyBorder="1" applyAlignment="1">
      <alignment horizontal="left"/>
    </xf>
    <xf numFmtId="0" fontId="22" fillId="0" borderId="80" xfId="7" applyFont="1" applyFill="1" applyBorder="1" applyAlignment="1">
      <alignment horizontal="left"/>
    </xf>
    <xf numFmtId="0" fontId="42" fillId="0" borderId="88" xfId="0" applyFont="1" applyBorder="1" applyAlignment="1">
      <alignment horizontal="center"/>
    </xf>
    <xf numFmtId="0" fontId="42" fillId="0" borderId="89" xfId="0" applyFont="1" applyFill="1" applyBorder="1" applyAlignment="1">
      <alignment horizontal="left" wrapText="1"/>
    </xf>
    <xf numFmtId="0" fontId="42" fillId="0" borderId="93" xfId="0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</cellXfs>
  <cellStyles count="11">
    <cellStyle name="Excel Built-in Comma" xfId="8" xr:uid="{00000000-0005-0000-0000-000000000000}"/>
    <cellStyle name="Excel Built-in Explanatory Text" xfId="7" xr:uid="{00000000-0005-0000-0000-000001000000}"/>
    <cellStyle name="Millares" xfId="6" builtinId="3"/>
    <cellStyle name="Moneda" xfId="10" builtinId="4"/>
    <cellStyle name="Normal" xfId="0" builtinId="0"/>
    <cellStyle name="Normal 2" xfId="1" xr:uid="{00000000-0005-0000-0000-000005000000}"/>
    <cellStyle name="Normal 3" xfId="2" xr:uid="{00000000-0005-0000-0000-000006000000}"/>
    <cellStyle name="Normal 3 2" xfId="4" xr:uid="{00000000-0005-0000-0000-000007000000}"/>
    <cellStyle name="Normal 4" xfId="5" xr:uid="{00000000-0005-0000-0000-000008000000}"/>
    <cellStyle name="Normal 6" xfId="3" xr:uid="{00000000-0005-0000-0000-000009000000}"/>
    <cellStyle name="Porcentaje" xfId="9" builtinId="5"/>
  </cellStyles>
  <dxfs count="0"/>
  <tableStyles count="0" defaultTableStyle="TableStyleMedium2" defaultPivotStyle="PivotStyleLight16"/>
  <colors>
    <mruColors>
      <color rgb="FFDD43B1"/>
      <color rgb="FF4461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emf"/><Relationship Id="rId1" Type="http://schemas.openxmlformats.org/officeDocument/2006/relationships/image" Target="../media/image5.png"/><Relationship Id="rId4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emf"/><Relationship Id="rId1" Type="http://schemas.openxmlformats.org/officeDocument/2006/relationships/image" Target="../media/image9.png"/><Relationship Id="rId4" Type="http://schemas.openxmlformats.org/officeDocument/2006/relationships/image" Target="../media/image1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emf"/><Relationship Id="rId1" Type="http://schemas.openxmlformats.org/officeDocument/2006/relationships/image" Target="../media/image13.png"/><Relationship Id="rId4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29</xdr:row>
      <xdr:rowOff>85725</xdr:rowOff>
    </xdr:from>
    <xdr:to>
      <xdr:col>2</xdr:col>
      <xdr:colOff>4249733</xdr:colOff>
      <xdr:row>50</xdr:row>
      <xdr:rowOff>95250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409575" y="8115300"/>
          <a:ext cx="5078408" cy="3810000"/>
          <a:chOff x="1152525" y="8372475"/>
          <a:chExt cx="5078408" cy="3810000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00000000-0008-0000-08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152525" y="8372475"/>
            <a:ext cx="5078408" cy="3603048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900" y="11982450"/>
            <a:ext cx="4533900" cy="200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</xdr:col>
      <xdr:colOff>0</xdr:colOff>
      <xdr:row>29</xdr:row>
      <xdr:rowOff>76200</xdr:rowOff>
    </xdr:from>
    <xdr:to>
      <xdr:col>7</xdr:col>
      <xdr:colOff>1381124</xdr:colOff>
      <xdr:row>50</xdr:row>
      <xdr:rowOff>28574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/>
      </xdr:nvGrpSpPr>
      <xdr:grpSpPr>
        <a:xfrm>
          <a:off x="5762625" y="8105775"/>
          <a:ext cx="5410199" cy="3752849"/>
          <a:chOff x="5762626" y="8172451"/>
          <a:chExt cx="5248274" cy="3857624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762626" y="8172451"/>
            <a:ext cx="5010150" cy="365923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15025" y="11830050"/>
            <a:ext cx="5095875" cy="200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66675</xdr:rowOff>
    </xdr:from>
    <xdr:to>
      <xdr:col>2</xdr:col>
      <xdr:colOff>4324350</xdr:colOff>
      <xdr:row>50</xdr:row>
      <xdr:rowOff>19050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85725" y="7191375"/>
          <a:ext cx="5476875" cy="4114800"/>
          <a:chOff x="238125" y="7105650"/>
          <a:chExt cx="5476875" cy="4114800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00000000-0008-0000-0C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38125" y="7105650"/>
            <a:ext cx="5249111" cy="3883489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7225" y="11029950"/>
            <a:ext cx="5057775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4476750</xdr:colOff>
      <xdr:row>26</xdr:row>
      <xdr:rowOff>171450</xdr:rowOff>
    </xdr:from>
    <xdr:to>
      <xdr:col>7</xdr:col>
      <xdr:colOff>1971675</xdr:colOff>
      <xdr:row>50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pSpPr/>
      </xdr:nvGrpSpPr>
      <xdr:grpSpPr>
        <a:xfrm>
          <a:off x="5715000" y="7115175"/>
          <a:ext cx="5619750" cy="4171950"/>
          <a:chOff x="5791200" y="7258050"/>
          <a:chExt cx="5273497" cy="417195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791200" y="7258050"/>
            <a:ext cx="5273497" cy="3920068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05500" y="11239500"/>
            <a:ext cx="5095875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2</xdr:col>
      <xdr:colOff>4210051</xdr:colOff>
      <xdr:row>49</xdr:row>
      <xdr:rowOff>95250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pSpPr/>
      </xdr:nvGrpSpPr>
      <xdr:grpSpPr>
        <a:xfrm>
          <a:off x="0" y="6934200"/>
          <a:ext cx="5448301" cy="4257675"/>
          <a:chOff x="0" y="7067550"/>
          <a:chExt cx="5448301" cy="4257675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00000000-0008-0000-0D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0" y="7067550"/>
            <a:ext cx="5249111" cy="3944454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" y="11049000"/>
            <a:ext cx="5448300" cy="276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4152900</xdr:colOff>
      <xdr:row>26</xdr:row>
      <xdr:rowOff>19050</xdr:rowOff>
    </xdr:from>
    <xdr:to>
      <xdr:col>7</xdr:col>
      <xdr:colOff>1866900</xdr:colOff>
      <xdr:row>49</xdr:row>
      <xdr:rowOff>9525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/>
      </xdr:nvGrpSpPr>
      <xdr:grpSpPr>
        <a:xfrm>
          <a:off x="5391150" y="6953250"/>
          <a:ext cx="5838825" cy="4152900"/>
          <a:chOff x="5734050" y="7067550"/>
          <a:chExt cx="5639140" cy="415290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734050" y="7067550"/>
            <a:ext cx="5639140" cy="3914775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53125" y="11029950"/>
            <a:ext cx="5095875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27</xdr:row>
      <xdr:rowOff>161925</xdr:rowOff>
    </xdr:from>
    <xdr:to>
      <xdr:col>2</xdr:col>
      <xdr:colOff>4362450</xdr:colOff>
      <xdr:row>47</xdr:row>
      <xdr:rowOff>104775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295275" y="7810500"/>
          <a:ext cx="5305425" cy="3562350"/>
          <a:chOff x="295275" y="7620000"/>
          <a:chExt cx="5305425" cy="3562350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00000000-0008-0000-0F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95275" y="7620000"/>
            <a:ext cx="4986960" cy="3304318"/>
          </a:xfrm>
          <a:prstGeom prst="rect">
            <a:avLst/>
          </a:prstGeom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2925" y="10991850"/>
            <a:ext cx="5057775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</xdr:col>
      <xdr:colOff>4295776</xdr:colOff>
      <xdr:row>28</xdr:row>
      <xdr:rowOff>28575</xdr:rowOff>
    </xdr:from>
    <xdr:to>
      <xdr:col>7</xdr:col>
      <xdr:colOff>1524001</xdr:colOff>
      <xdr:row>48</xdr:row>
      <xdr:rowOff>19050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pSpPr/>
      </xdr:nvGrpSpPr>
      <xdr:grpSpPr>
        <a:xfrm>
          <a:off x="5534026" y="7858125"/>
          <a:ext cx="5286375" cy="3609975"/>
          <a:chOff x="5534025" y="7820025"/>
          <a:chExt cx="5095875" cy="3609975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591175" y="7820025"/>
            <a:ext cx="4816257" cy="335309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34025" y="11239500"/>
            <a:ext cx="5095875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DISE&#209;OS/2017/3%20Aguas/3%20Aguas%202017/PRESUPUESTO%20ELECTRICO%203%20AGUAS%200604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SAUKARA A1"/>
      <sheetName val="UNITARIOS"/>
      <sheetName val="PRESUPUESTO ELECTRICO 3 AGUAS "/>
      <sheetName val="UNITARIOS ELECTRICOS "/>
      <sheetName val="UNITARIOS ELECTRICOS COTIZACION"/>
      <sheetName val="UNITARIOS DEF. LA LIBIA"/>
      <sheetName val="UNITARIOS NATTURA"/>
      <sheetName val="Unitarios nuevos"/>
      <sheetName val="UNITARIOS ELECTRICOS ADICIONALE"/>
      <sheetName val="UNITARIOS ENTREVERDE"/>
      <sheetName val="UNITARIOS CIVILES"/>
    </sheetNames>
    <sheetDataSet>
      <sheetData sheetId="0"/>
      <sheetData sheetId="1"/>
      <sheetData sheetId="2"/>
      <sheetData sheetId="3"/>
      <sheetData sheetId="4">
        <row r="25">
          <cell r="B25">
            <v>446200</v>
          </cell>
        </row>
        <row r="30">
          <cell r="B30">
            <v>480590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29"/>
  <sheetViews>
    <sheetView topLeftCell="A6" zoomScaleNormal="100" workbookViewId="0">
      <selection activeCell="D16" sqref="D16"/>
    </sheetView>
  </sheetViews>
  <sheetFormatPr baseColWidth="10" defaultColWidth="8" defaultRowHeight="12.75" customHeight="1"/>
  <cols>
    <col min="1" max="1" width="6.25" style="45" customWidth="1"/>
    <col min="2" max="2" width="61.875" style="4" customWidth="1"/>
    <col min="3" max="3" width="7.5" style="45" customWidth="1"/>
    <col min="4" max="4" width="9.625" style="44" customWidth="1"/>
    <col min="5" max="5" width="11.875" style="4" customWidth="1"/>
    <col min="6" max="6" width="10.875" style="4" customWidth="1"/>
    <col min="7" max="7" width="36.625" style="4" customWidth="1"/>
    <col min="8" max="16384" width="8" style="4"/>
  </cols>
  <sheetData>
    <row r="1" spans="1:6" hidden="1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</row>
    <row r="2" spans="1:6" ht="12.75" hidden="1" customHeight="1">
      <c r="A2" s="5" t="s">
        <v>6</v>
      </c>
      <c r="B2" s="6" t="s">
        <v>7</v>
      </c>
      <c r="C2" s="7" t="s">
        <v>8</v>
      </c>
      <c r="D2" s="8">
        <v>0</v>
      </c>
      <c r="E2" s="8">
        <f>+'[1]UNITARIOS ELECTRICOS COTIZACION'!B25</f>
        <v>446200</v>
      </c>
      <c r="F2" s="9">
        <f>ROUND((D2*E2),0)</f>
        <v>0</v>
      </c>
    </row>
    <row r="3" spans="1:6" s="12" customFormat="1" hidden="1">
      <c r="A3" s="5" t="s">
        <v>9</v>
      </c>
      <c r="B3" s="10" t="s">
        <v>10</v>
      </c>
      <c r="C3" s="7" t="s">
        <v>8</v>
      </c>
      <c r="D3" s="11">
        <v>0</v>
      </c>
      <c r="E3" s="11">
        <f>+'[1]UNITARIOS ELECTRICOS COTIZACION'!B30</f>
        <v>480590</v>
      </c>
      <c r="F3" s="9">
        <f>ROUND((D3*E3),0)</f>
        <v>0</v>
      </c>
    </row>
    <row r="4" spans="1:6" ht="12.75" hidden="1" customHeight="1">
      <c r="A4" s="13" t="s">
        <v>11</v>
      </c>
      <c r="B4" s="14" t="s">
        <v>12</v>
      </c>
      <c r="C4" s="15" t="s">
        <v>11</v>
      </c>
      <c r="D4" s="16" t="s">
        <v>11</v>
      </c>
      <c r="E4" s="17" t="s">
        <v>11</v>
      </c>
      <c r="F4" s="18">
        <f>SUM(F2:F3)</f>
        <v>0</v>
      </c>
    </row>
    <row r="5" spans="1:6" s="12" customFormat="1" hidden="1">
      <c r="A5" s="19"/>
      <c r="B5" s="20"/>
      <c r="C5" s="21"/>
      <c r="D5" s="22"/>
      <c r="E5" s="22"/>
      <c r="F5" s="23"/>
    </row>
    <row r="6" spans="1:6">
      <c r="A6" s="24" t="s">
        <v>0</v>
      </c>
      <c r="B6" s="25" t="s">
        <v>13</v>
      </c>
      <c r="C6" s="24" t="s">
        <v>2</v>
      </c>
      <c r="D6" s="26" t="s">
        <v>3</v>
      </c>
      <c r="E6" s="24" t="s">
        <v>4</v>
      </c>
      <c r="F6" s="24" t="s">
        <v>5</v>
      </c>
    </row>
    <row r="7" spans="1:6">
      <c r="A7" s="27" t="s">
        <v>14</v>
      </c>
      <c r="B7" s="6" t="s">
        <v>15</v>
      </c>
      <c r="C7" s="27" t="s">
        <v>8</v>
      </c>
      <c r="D7" s="28">
        <v>1</v>
      </c>
      <c r="E7" s="28">
        <v>467250</v>
      </c>
      <c r="F7" s="28">
        <f t="shared" ref="F7:F17" si="0">+D7*E7</f>
        <v>467250</v>
      </c>
    </row>
    <row r="8" spans="1:6">
      <c r="A8" s="27" t="s">
        <v>16</v>
      </c>
      <c r="B8" s="29" t="s">
        <v>17</v>
      </c>
      <c r="C8" s="30" t="s">
        <v>18</v>
      </c>
      <c r="D8" s="31">
        <v>10</v>
      </c>
      <c r="E8" s="31">
        <v>10095</v>
      </c>
      <c r="F8" s="31">
        <f t="shared" si="0"/>
        <v>100950</v>
      </c>
    </row>
    <row r="9" spans="1:6">
      <c r="A9" s="27" t="s">
        <v>19</v>
      </c>
      <c r="B9" s="6" t="s">
        <v>20</v>
      </c>
      <c r="C9" s="27" t="s">
        <v>8</v>
      </c>
      <c r="D9" s="28">
        <v>1</v>
      </c>
      <c r="E9" s="28">
        <v>1407000</v>
      </c>
      <c r="F9" s="28">
        <f>+D9*E9</f>
        <v>1407000</v>
      </c>
    </row>
    <row r="10" spans="1:6">
      <c r="A10" s="27" t="s">
        <v>21</v>
      </c>
      <c r="B10" s="6" t="s">
        <v>22</v>
      </c>
      <c r="C10" s="27" t="s">
        <v>8</v>
      </c>
      <c r="D10" s="28">
        <v>1</v>
      </c>
      <c r="E10" s="28">
        <v>762550</v>
      </c>
      <c r="F10" s="28">
        <f>+D10*E10</f>
        <v>762550</v>
      </c>
    </row>
    <row r="11" spans="1:6">
      <c r="A11" s="27" t="s">
        <v>23</v>
      </c>
      <c r="B11" s="6" t="s">
        <v>24</v>
      </c>
      <c r="C11" s="27" t="s">
        <v>8</v>
      </c>
      <c r="D11" s="28">
        <v>1</v>
      </c>
      <c r="E11" s="28">
        <v>205960</v>
      </c>
      <c r="F11" s="28">
        <f>+D11*E11</f>
        <v>205960</v>
      </c>
    </row>
    <row r="12" spans="1:6">
      <c r="A12" s="27" t="s">
        <v>25</v>
      </c>
      <c r="B12" s="6" t="s">
        <v>26</v>
      </c>
      <c r="C12" s="27" t="s">
        <v>8</v>
      </c>
      <c r="D12" s="28">
        <v>1</v>
      </c>
      <c r="E12" s="28">
        <v>1666694</v>
      </c>
      <c r="F12" s="28">
        <f>+D12*E12</f>
        <v>1666694</v>
      </c>
    </row>
    <row r="13" spans="1:6">
      <c r="A13" s="27" t="s">
        <v>27</v>
      </c>
      <c r="B13" s="6" t="s">
        <v>28</v>
      </c>
      <c r="C13" s="27" t="s">
        <v>29</v>
      </c>
      <c r="D13" s="28">
        <v>1</v>
      </c>
      <c r="E13" s="28">
        <v>503000</v>
      </c>
      <c r="F13" s="28">
        <f t="shared" si="0"/>
        <v>503000</v>
      </c>
    </row>
    <row r="14" spans="1:6">
      <c r="A14" s="27" t="s">
        <v>30</v>
      </c>
      <c r="B14" s="6" t="s">
        <v>31</v>
      </c>
      <c r="C14" s="27" t="s">
        <v>8</v>
      </c>
      <c r="D14" s="28">
        <v>1</v>
      </c>
      <c r="E14" s="28">
        <v>565400</v>
      </c>
      <c r="F14" s="28">
        <f t="shared" si="0"/>
        <v>565400</v>
      </c>
    </row>
    <row r="15" spans="1:6">
      <c r="A15" s="27" t="s">
        <v>32</v>
      </c>
      <c r="B15" s="29" t="s">
        <v>33</v>
      </c>
      <c r="C15" s="30" t="s">
        <v>18</v>
      </c>
      <c r="D15" s="31">
        <v>7</v>
      </c>
      <c r="E15" s="31">
        <v>42650</v>
      </c>
      <c r="F15" s="31">
        <f t="shared" si="0"/>
        <v>298550</v>
      </c>
    </row>
    <row r="16" spans="1:6">
      <c r="A16" s="27" t="s">
        <v>34</v>
      </c>
      <c r="B16" s="29" t="s">
        <v>35</v>
      </c>
      <c r="C16" s="30" t="s">
        <v>18</v>
      </c>
      <c r="D16" s="31">
        <v>12</v>
      </c>
      <c r="E16" s="31">
        <v>125504</v>
      </c>
      <c r="F16" s="31">
        <f t="shared" si="0"/>
        <v>1506048</v>
      </c>
    </row>
    <row r="17" spans="1:6" s="35" customFormat="1" ht="25.5">
      <c r="A17" s="27" t="s">
        <v>36</v>
      </c>
      <c r="B17" s="32" t="s">
        <v>37</v>
      </c>
      <c r="C17" s="33" t="s">
        <v>8</v>
      </c>
      <c r="D17" s="34">
        <v>1</v>
      </c>
      <c r="E17" s="34">
        <v>850000</v>
      </c>
      <c r="F17" s="34">
        <f t="shared" si="0"/>
        <v>850000</v>
      </c>
    </row>
    <row r="18" spans="1:6" s="12" customFormat="1">
      <c r="A18" s="27" t="s">
        <v>38</v>
      </c>
      <c r="B18" s="10" t="s">
        <v>39</v>
      </c>
      <c r="C18" s="7" t="s">
        <v>8</v>
      </c>
      <c r="D18" s="11">
        <v>1</v>
      </c>
      <c r="E18" s="11">
        <v>2528750</v>
      </c>
      <c r="F18" s="9">
        <f>ROUND((D18*E18),0)</f>
        <v>2528750</v>
      </c>
    </row>
    <row r="19" spans="1:6" s="12" customFormat="1">
      <c r="A19" s="13" t="s">
        <v>11</v>
      </c>
      <c r="B19" s="36" t="s">
        <v>40</v>
      </c>
      <c r="C19" s="37" t="s">
        <v>11</v>
      </c>
      <c r="D19" s="38" t="s">
        <v>11</v>
      </c>
      <c r="E19" s="39" t="s">
        <v>11</v>
      </c>
      <c r="F19" s="40">
        <f>SUM(F7:F18)</f>
        <v>10862152</v>
      </c>
    </row>
    <row r="21" spans="1:6" ht="15">
      <c r="B21" s="845" t="s">
        <v>53</v>
      </c>
      <c r="C21" s="845"/>
      <c r="D21" s="845"/>
      <c r="E21" s="46">
        <v>0.12</v>
      </c>
      <c r="F21" s="47">
        <f>+F19*E21</f>
        <v>1303458.24</v>
      </c>
    </row>
    <row r="22" spans="1:6" ht="15">
      <c r="B22" s="845" t="s">
        <v>54</v>
      </c>
      <c r="C22" s="845"/>
      <c r="D22" s="845"/>
      <c r="E22" s="46">
        <v>0.02</v>
      </c>
      <c r="F22" s="47">
        <f>+F19*E22</f>
        <v>217243.04</v>
      </c>
    </row>
    <row r="23" spans="1:6" ht="15">
      <c r="B23" s="845" t="s">
        <v>55</v>
      </c>
      <c r="C23" s="845"/>
      <c r="D23" s="845"/>
      <c r="E23" s="46">
        <v>0.08</v>
      </c>
      <c r="F23" s="47">
        <f>+F19*E23</f>
        <v>868972.16</v>
      </c>
    </row>
    <row r="24" spans="1:6" ht="15">
      <c r="B24" s="845" t="s">
        <v>56</v>
      </c>
      <c r="C24" s="845"/>
      <c r="D24" s="845"/>
      <c r="E24" s="46">
        <v>0.19</v>
      </c>
      <c r="F24" s="47">
        <f>+F23*E24</f>
        <v>165104.71040000001</v>
      </c>
    </row>
    <row r="25" spans="1:6" ht="15">
      <c r="B25" s="845" t="s">
        <v>57</v>
      </c>
      <c r="C25" s="845"/>
      <c r="D25" s="845"/>
      <c r="E25" s="845"/>
      <c r="F25" s="47">
        <f>SUM(F19:F24)</f>
        <v>13416930.1504</v>
      </c>
    </row>
    <row r="27" spans="1:6" ht="12.75" customHeight="1">
      <c r="B27" s="51" t="s">
        <v>58</v>
      </c>
      <c r="C27" s="52"/>
      <c r="D27" s="53"/>
      <c r="E27" s="54"/>
      <c r="F27" s="55"/>
    </row>
    <row r="28" spans="1:6" ht="12.75" customHeight="1">
      <c r="B28" s="56" t="s">
        <v>59</v>
      </c>
      <c r="C28" s="48"/>
      <c r="D28" s="49"/>
      <c r="E28" s="50"/>
      <c r="F28" s="57"/>
    </row>
    <row r="29" spans="1:6" ht="12.75" customHeight="1">
      <c r="B29" s="58" t="s">
        <v>60</v>
      </c>
      <c r="C29" s="59"/>
      <c r="D29" s="60"/>
      <c r="E29" s="61"/>
      <c r="F29" s="62"/>
    </row>
  </sheetData>
  <mergeCells count="5">
    <mergeCell ref="B25:E25"/>
    <mergeCell ref="B21:D21"/>
    <mergeCell ref="B22:D22"/>
    <mergeCell ref="B23:D23"/>
    <mergeCell ref="B24:D24"/>
  </mergeCells>
  <printOptions horizontalCentered="1"/>
  <pageMargins left="0.74803149606299213" right="0.74803149606299213" top="1.5354330708661419" bottom="0.98425196850393704" header="0.70866141732283472" footer="0.51181102362204722"/>
  <pageSetup scale="75" orientation="portrait" horizontalDpi="300" verticalDpi="300" r:id="rId1"/>
  <headerFooter>
    <oddHeader>&amp;C&amp;"Arial,Negrita"
PROYECTO CONJUNTO LA QUINTA (TORRE 1)
TRUJILLO GUTIERREZ &amp; ASOCS.
PRESUPUESTO DE OBRA ELECTRICA ESTIMADO
(Mayo de 2017)</oddHeader>
    <oddFooter>&amp;C&amp;P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6"/>
  <sheetViews>
    <sheetView workbookViewId="0">
      <selection activeCell="A25" sqref="A25"/>
    </sheetView>
  </sheetViews>
  <sheetFormatPr baseColWidth="10" defaultRowHeight="14.25"/>
  <cols>
    <col min="1" max="1" width="9.375" customWidth="1"/>
    <col min="2" max="2" width="6.875" customWidth="1"/>
    <col min="3" max="3" width="59.375" customWidth="1"/>
    <col min="7" max="7" width="11.75" bestFit="1" customWidth="1"/>
  </cols>
  <sheetData>
    <row r="1" spans="1:10">
      <c r="A1" s="875" t="s">
        <v>832</v>
      </c>
      <c r="B1" s="875"/>
      <c r="C1" s="875"/>
      <c r="D1" s="875"/>
      <c r="E1" s="875"/>
      <c r="F1" s="875"/>
      <c r="G1" s="875"/>
    </row>
    <row r="2" spans="1:10">
      <c r="A2" s="875"/>
      <c r="B2" s="875"/>
      <c r="C2" s="875"/>
      <c r="D2" s="875"/>
      <c r="E2" s="875"/>
      <c r="F2" s="875"/>
      <c r="G2" s="875"/>
    </row>
    <row r="3" spans="1:10">
      <c r="A3" s="876"/>
      <c r="B3" s="876"/>
      <c r="C3" s="876"/>
      <c r="D3" s="876"/>
      <c r="E3" s="876"/>
      <c r="F3" s="876"/>
      <c r="G3" s="876"/>
    </row>
    <row r="4" spans="1:10" ht="30" customHeight="1">
      <c r="A4" s="870" t="s">
        <v>667</v>
      </c>
      <c r="B4" s="870"/>
      <c r="C4" s="870"/>
      <c r="D4" s="870"/>
      <c r="E4" s="870"/>
      <c r="F4" s="870"/>
      <c r="G4" s="870"/>
    </row>
    <row r="5" spans="1:10" ht="15.75" customHeight="1">
      <c r="A5" s="872"/>
      <c r="B5" s="873"/>
      <c r="C5" s="873"/>
      <c r="D5" s="873"/>
      <c r="E5" s="873"/>
      <c r="F5" s="873"/>
      <c r="G5" s="877"/>
    </row>
    <row r="6" spans="1:10" ht="15.75" customHeight="1">
      <c r="A6" s="347"/>
      <c r="B6" s="358"/>
      <c r="C6" s="358" t="s">
        <v>718</v>
      </c>
      <c r="D6" s="358"/>
      <c r="E6" s="358"/>
      <c r="F6" s="358"/>
      <c r="G6" s="358"/>
    </row>
    <row r="7" spans="1:10" ht="25.5">
      <c r="A7" s="345" t="s">
        <v>593</v>
      </c>
      <c r="B7" s="345" t="s">
        <v>611</v>
      </c>
      <c r="C7" s="345" t="s">
        <v>594</v>
      </c>
      <c r="D7" s="428" t="s">
        <v>630</v>
      </c>
      <c r="E7" s="345" t="s">
        <v>656</v>
      </c>
      <c r="F7" s="346" t="s">
        <v>655</v>
      </c>
      <c r="G7" s="346" t="s">
        <v>610</v>
      </c>
    </row>
    <row r="8" spans="1:10" ht="60">
      <c r="A8" s="316">
        <v>1</v>
      </c>
      <c r="B8" s="327" t="s">
        <v>608</v>
      </c>
      <c r="C8" s="440" t="s">
        <v>1090</v>
      </c>
      <c r="D8" s="429" t="str">
        <f>+VLOOKUP(C8,ITEMS!A$4:C$101,2,0)</f>
        <v>Un</v>
      </c>
      <c r="E8" s="312">
        <f>2+2+2+2</f>
        <v>8</v>
      </c>
      <c r="F8" s="313">
        <f>+VLOOKUP(C8,ITEMS!A$4:D$101,3,0)</f>
        <v>3092862</v>
      </c>
      <c r="G8" s="313">
        <f>+E8*F8</f>
        <v>24742896</v>
      </c>
      <c r="H8" t="s">
        <v>836</v>
      </c>
    </row>
    <row r="9" spans="1:10" ht="28.5">
      <c r="A9" s="316">
        <v>2</v>
      </c>
      <c r="B9" s="327" t="s">
        <v>609</v>
      </c>
      <c r="C9" s="317" t="s">
        <v>612</v>
      </c>
      <c r="D9" s="363" t="str">
        <f>+VLOOKUP(C9,ITEMS!A$4:C$101,2,0)</f>
        <v>Un</v>
      </c>
      <c r="E9" s="418">
        <f>2+2+2+2</f>
        <v>8</v>
      </c>
      <c r="F9" s="313">
        <f>+VLOOKUP(C9,ITEMS!A$4:D$101,3,0)</f>
        <v>524196</v>
      </c>
      <c r="G9" s="313">
        <f t="shared" ref="G9:G23" si="0">+E9*F9</f>
        <v>4193568</v>
      </c>
      <c r="H9" t="s">
        <v>837</v>
      </c>
    </row>
    <row r="10" spans="1:10" ht="28.5">
      <c r="A10" s="316">
        <v>3</v>
      </c>
      <c r="B10" s="327"/>
      <c r="C10" s="317" t="s">
        <v>628</v>
      </c>
      <c r="D10" s="363" t="str">
        <f>+VLOOKUP(C10,ITEMS!A$4:C$101,2,0)</f>
        <v>Un</v>
      </c>
      <c r="E10" s="418">
        <v>4</v>
      </c>
      <c r="F10" s="313">
        <f>+VLOOKUP(C10,ITEMS!A$4:D$101,3,0)</f>
        <v>968212</v>
      </c>
      <c r="G10" s="313">
        <f t="shared" si="0"/>
        <v>3872848</v>
      </c>
      <c r="H10" t="s">
        <v>838</v>
      </c>
      <c r="I10" s="324"/>
      <c r="J10" s="324"/>
    </row>
    <row r="11" spans="1:10" ht="16.5">
      <c r="A11" s="316">
        <v>4</v>
      </c>
      <c r="B11" s="327" t="s">
        <v>613</v>
      </c>
      <c r="C11" s="317" t="s">
        <v>805</v>
      </c>
      <c r="D11" s="363" t="str">
        <f>+VLOOKUP(C11,ITEMS!A$4:C$101,2,0)</f>
        <v>Un</v>
      </c>
      <c r="E11" s="418">
        <f>6+8+2+3</f>
        <v>19</v>
      </c>
      <c r="F11" s="313">
        <f>+VLOOKUP(C11,ITEMS!A$4:D$101,3,0)</f>
        <v>2176709</v>
      </c>
      <c r="G11" s="313">
        <f t="shared" si="0"/>
        <v>41357471</v>
      </c>
      <c r="H11" s="324" t="s">
        <v>839</v>
      </c>
      <c r="I11" s="324"/>
      <c r="J11" s="324"/>
    </row>
    <row r="12" spans="1:10" ht="16.5">
      <c r="A12" s="316">
        <v>5</v>
      </c>
      <c r="B12" s="327" t="s">
        <v>685</v>
      </c>
      <c r="C12" s="317" t="s">
        <v>682</v>
      </c>
      <c r="D12" s="363" t="str">
        <f>+VLOOKUP(C12,ITEMS!A$4:C$101,2,0)</f>
        <v>m</v>
      </c>
      <c r="E12" s="418">
        <f>214+233+119+109</f>
        <v>675</v>
      </c>
      <c r="F12" s="313">
        <f>+VLOOKUP(C12,ITEMS!A$4:D$101,3,0)</f>
        <v>448214</v>
      </c>
      <c r="G12" s="313">
        <f t="shared" si="0"/>
        <v>302544450</v>
      </c>
      <c r="H12" t="s">
        <v>840</v>
      </c>
    </row>
    <row r="13" spans="1:10" ht="28.5">
      <c r="A13" s="316">
        <v>6</v>
      </c>
      <c r="B13" s="327" t="s">
        <v>685</v>
      </c>
      <c r="C13" s="317" t="s">
        <v>684</v>
      </c>
      <c r="D13" s="363" t="str">
        <f>+VLOOKUP(C13,ITEMS!A$4:C$101,2,0)</f>
        <v>m</v>
      </c>
      <c r="E13" s="418">
        <f>20+10+20+15</f>
        <v>65</v>
      </c>
      <c r="F13" s="313">
        <f>+VLOOKUP(C13,ITEMS!A$4:D$101,3,0)</f>
        <v>709513</v>
      </c>
      <c r="G13" s="313">
        <f t="shared" si="0"/>
        <v>46118345</v>
      </c>
      <c r="H13" t="s">
        <v>841</v>
      </c>
    </row>
    <row r="14" spans="1:10" ht="28.5">
      <c r="A14" s="316">
        <v>7</v>
      </c>
      <c r="B14" s="327"/>
      <c r="C14" s="317" t="s">
        <v>833</v>
      </c>
      <c r="D14" s="363" t="str">
        <f>+VLOOKUP(C14,ITEMS!A$4:C$101,2,0)</f>
        <v>m</v>
      </c>
      <c r="E14" s="418">
        <f>234+24+12+243+24+16+134+24+8+124+24+8</f>
        <v>875</v>
      </c>
      <c r="F14" s="313">
        <f>+VLOOKUP(C14,ITEMS!A$4:D$101,3,0)</f>
        <v>101944</v>
      </c>
      <c r="G14" s="313">
        <f t="shared" si="0"/>
        <v>89201000</v>
      </c>
      <c r="H14" t="s">
        <v>842</v>
      </c>
    </row>
    <row r="15" spans="1:10" ht="16.5">
      <c r="A15" s="316">
        <v>8</v>
      </c>
      <c r="B15" s="327" t="s">
        <v>660</v>
      </c>
      <c r="C15" s="317" t="s">
        <v>636</v>
      </c>
      <c r="D15" s="363" t="str">
        <f>+VLOOKUP(C15,ITEMS!A$4:C$101,2,0)</f>
        <v>Un</v>
      </c>
      <c r="E15" s="418">
        <f>1+1+1+1</f>
        <v>4</v>
      </c>
      <c r="F15" s="313">
        <f>+VLOOKUP(C15,ITEMS!A$4:D$101,3,0)</f>
        <v>775107</v>
      </c>
      <c r="G15" s="313">
        <f t="shared" si="0"/>
        <v>3100428</v>
      </c>
      <c r="H15" t="s">
        <v>843</v>
      </c>
    </row>
    <row r="16" spans="1:10" ht="16.5">
      <c r="A16" s="316">
        <v>9</v>
      </c>
      <c r="B16" s="316"/>
      <c r="C16" s="317" t="s">
        <v>629</v>
      </c>
      <c r="D16" s="363" t="str">
        <f>+VLOOKUP(C16,ITEMS!A$4:C$101,2,0)</f>
        <v>Un</v>
      </c>
      <c r="E16" s="418">
        <v>4</v>
      </c>
      <c r="F16" s="313">
        <f>+VLOOKUP(C16,ITEMS!A$4:D$101,3,0)</f>
        <v>461792</v>
      </c>
      <c r="G16" s="313">
        <f t="shared" si="0"/>
        <v>1847168</v>
      </c>
    </row>
    <row r="17" spans="1:13" ht="16.5">
      <c r="A17" s="316">
        <v>10</v>
      </c>
      <c r="B17" s="316"/>
      <c r="C17" s="317" t="s">
        <v>666</v>
      </c>
      <c r="D17" s="363" t="str">
        <f>+VLOOKUP(C17,ITEMS!A$4:C$101,2,0)</f>
        <v>Un</v>
      </c>
      <c r="E17" s="418">
        <f>10+4+10+3+6</f>
        <v>33</v>
      </c>
      <c r="F17" s="313">
        <f>+VLOOKUP(C17,ITEMS!A$4:D$101,3,0)</f>
        <v>130900</v>
      </c>
      <c r="G17" s="313">
        <f t="shared" si="0"/>
        <v>4319700</v>
      </c>
      <c r="H17" s="324" t="s">
        <v>844</v>
      </c>
      <c r="I17" s="324"/>
      <c r="J17" s="324"/>
      <c r="K17" s="324"/>
      <c r="L17" s="324"/>
      <c r="M17" s="324"/>
    </row>
    <row r="18" spans="1:13" ht="16.5">
      <c r="A18" s="316">
        <v>11</v>
      </c>
      <c r="B18" s="316"/>
      <c r="C18" s="317" t="s">
        <v>668</v>
      </c>
      <c r="D18" s="363" t="str">
        <f>+VLOOKUP(C18,ITEMS!A$4:C$101,2,0)</f>
        <v>Un</v>
      </c>
      <c r="E18" s="418">
        <f>8+3+9+2+2</f>
        <v>24</v>
      </c>
      <c r="F18" s="313">
        <f>+VLOOKUP(C18,ITEMS!A$4:D$101,3,0)</f>
        <v>284256</v>
      </c>
      <c r="G18" s="313">
        <f t="shared" si="0"/>
        <v>6822144</v>
      </c>
      <c r="H18" t="s">
        <v>845</v>
      </c>
    </row>
    <row r="19" spans="1:13" ht="16.5">
      <c r="A19" s="316">
        <v>12</v>
      </c>
      <c r="B19" s="316"/>
      <c r="C19" s="317" t="s">
        <v>657</v>
      </c>
      <c r="D19" s="422" t="str">
        <f>+VLOOKUP(C19,ITEMS!A$4:C$101,2,0)</f>
        <v>m</v>
      </c>
      <c r="E19" s="419">
        <f>234+243+134+124</f>
        <v>735</v>
      </c>
      <c r="F19" s="313">
        <f>+VLOOKUP(C19,ITEMS!A$4:D$101,3,0)</f>
        <v>7935</v>
      </c>
      <c r="G19" s="313">
        <f t="shared" si="0"/>
        <v>5832225</v>
      </c>
      <c r="H19" t="s">
        <v>846</v>
      </c>
    </row>
    <row r="20" spans="1:13" ht="28.5">
      <c r="A20" s="316">
        <v>13</v>
      </c>
      <c r="B20" s="316"/>
      <c r="C20" s="317" t="s">
        <v>834</v>
      </c>
      <c r="D20" s="422" t="str">
        <f>+VLOOKUP(C20,ITEMS!A$4:C$101,2,0)</f>
        <v>Un</v>
      </c>
      <c r="E20" s="420">
        <v>1</v>
      </c>
      <c r="F20" s="313">
        <f>+VLOOKUP(C20,ITEMS!A$4:D$101,3,0)</f>
        <v>238570</v>
      </c>
      <c r="G20" s="313">
        <f t="shared" si="0"/>
        <v>238570</v>
      </c>
      <c r="H20" t="s">
        <v>835</v>
      </c>
    </row>
    <row r="21" spans="1:13" ht="28.5">
      <c r="A21" s="316">
        <v>14</v>
      </c>
      <c r="B21" s="316" t="s">
        <v>943</v>
      </c>
      <c r="C21" s="317" t="s">
        <v>697</v>
      </c>
      <c r="D21" s="422" t="str">
        <f>+VLOOKUP(C21,ITEMS!A$4:C$101,2,0)</f>
        <v>Un</v>
      </c>
      <c r="E21" s="421">
        <f>2+1+1+1+2</f>
        <v>7</v>
      </c>
      <c r="F21" s="313">
        <f>+VLOOKUP(C21,ITEMS!A$4:D$101,3,0)</f>
        <v>752387</v>
      </c>
      <c r="G21" s="313">
        <f t="shared" si="0"/>
        <v>5266709</v>
      </c>
      <c r="H21" t="s">
        <v>847</v>
      </c>
    </row>
    <row r="22" spans="1:13" ht="16.5">
      <c r="A22" s="316">
        <v>15</v>
      </c>
      <c r="B22" s="316" t="s">
        <v>944</v>
      </c>
      <c r="C22" s="317" t="s">
        <v>716</v>
      </c>
      <c r="D22" s="422" t="str">
        <f>+VLOOKUP(C22,ITEMS!A$4:C$101,2,0)</f>
        <v>Un</v>
      </c>
      <c r="E22" s="421">
        <f>2+1+1+2</f>
        <v>6</v>
      </c>
      <c r="F22" s="313">
        <f>+VLOOKUP(C22,ITEMS!A$4:D$101,3,0)</f>
        <v>1107456</v>
      </c>
      <c r="G22" s="313">
        <f t="shared" si="0"/>
        <v>6644736</v>
      </c>
      <c r="H22" t="s">
        <v>848</v>
      </c>
    </row>
    <row r="23" spans="1:13" ht="16.5">
      <c r="A23" s="316">
        <v>16</v>
      </c>
      <c r="B23" s="316"/>
      <c r="C23" s="317" t="s">
        <v>663</v>
      </c>
      <c r="D23" s="422" t="str">
        <f>+VLOOKUP(C23,ITEMS!A$4:C$101,2,0)</f>
        <v>Un</v>
      </c>
      <c r="E23" s="420">
        <f>1+1+1+1</f>
        <v>4</v>
      </c>
      <c r="F23" s="313">
        <f>+VLOOKUP(C23,ITEMS!A$4:D$101,3,0)</f>
        <v>721080</v>
      </c>
      <c r="G23" s="313">
        <f t="shared" si="0"/>
        <v>2884320</v>
      </c>
      <c r="H23" t="s">
        <v>849</v>
      </c>
    </row>
    <row r="24" spans="1:13" ht="16.5">
      <c r="A24" s="322"/>
      <c r="B24" s="316"/>
      <c r="C24" s="317"/>
      <c r="D24" s="318"/>
      <c r="E24" s="326"/>
      <c r="F24" s="319"/>
      <c r="G24" s="319"/>
    </row>
    <row r="25" spans="1:13" ht="16.5">
      <c r="A25" s="336"/>
      <c r="B25" s="348"/>
      <c r="C25" s="349" t="s">
        <v>719</v>
      </c>
      <c r="D25" s="350"/>
      <c r="E25" s="350"/>
      <c r="F25" s="348"/>
      <c r="G25" s="360">
        <f>SUM(G8:G24)</f>
        <v>548986578</v>
      </c>
    </row>
    <row r="26" spans="1:13" ht="16.5">
      <c r="A26" s="351"/>
      <c r="B26" s="352"/>
      <c r="C26" s="353"/>
      <c r="D26" s="354"/>
      <c r="E26" s="354"/>
      <c r="F26" s="352"/>
      <c r="G26" s="355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6"/>
  <sheetViews>
    <sheetView workbookViewId="0">
      <selection activeCell="E15" sqref="E15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7" max="7" width="11.75" bestFit="1" customWidth="1"/>
  </cols>
  <sheetData>
    <row r="1" spans="1:11">
      <c r="A1" s="875" t="s">
        <v>850</v>
      </c>
      <c r="B1" s="875"/>
      <c r="C1" s="875"/>
      <c r="D1" s="875"/>
      <c r="E1" s="875"/>
      <c r="F1" s="875"/>
      <c r="G1" s="875"/>
    </row>
    <row r="2" spans="1:11">
      <c r="A2" s="875"/>
      <c r="B2" s="875"/>
      <c r="C2" s="875"/>
      <c r="D2" s="875"/>
      <c r="E2" s="875"/>
      <c r="F2" s="875"/>
      <c r="G2" s="875"/>
    </row>
    <row r="3" spans="1:11">
      <c r="A3" s="876"/>
      <c r="B3" s="876"/>
      <c r="C3" s="876"/>
      <c r="D3" s="876"/>
      <c r="E3" s="876"/>
      <c r="F3" s="876"/>
      <c r="G3" s="876"/>
    </row>
    <row r="4" spans="1:11" ht="30" customHeight="1">
      <c r="A4" s="870" t="s">
        <v>667</v>
      </c>
      <c r="B4" s="870"/>
      <c r="C4" s="870"/>
      <c r="D4" s="870"/>
      <c r="E4" s="870"/>
      <c r="F4" s="870"/>
      <c r="G4" s="870"/>
    </row>
    <row r="5" spans="1:11" ht="15.75" customHeight="1">
      <c r="A5" s="872"/>
      <c r="B5" s="873"/>
      <c r="C5" s="873"/>
      <c r="D5" s="873"/>
      <c r="E5" s="873"/>
      <c r="F5" s="873"/>
      <c r="G5" s="877"/>
    </row>
    <row r="6" spans="1:11" ht="15.75" customHeight="1">
      <c r="A6" s="347"/>
      <c r="B6" s="358"/>
      <c r="C6" s="358" t="s">
        <v>718</v>
      </c>
      <c r="D6" s="358"/>
      <c r="E6" s="358"/>
      <c r="F6" s="358"/>
      <c r="G6" s="358"/>
    </row>
    <row r="7" spans="1:11" ht="25.5">
      <c r="A7" s="345" t="s">
        <v>593</v>
      </c>
      <c r="B7" s="345" t="s">
        <v>611</v>
      </c>
      <c r="C7" s="345" t="s">
        <v>594</v>
      </c>
      <c r="D7" s="345" t="s">
        <v>630</v>
      </c>
      <c r="E7" s="345" t="s">
        <v>656</v>
      </c>
      <c r="F7" s="346" t="s">
        <v>655</v>
      </c>
      <c r="G7" s="346" t="s">
        <v>610</v>
      </c>
    </row>
    <row r="8" spans="1:11" ht="60">
      <c r="A8" s="308">
        <v>1</v>
      </c>
      <c r="B8" s="309" t="s">
        <v>608</v>
      </c>
      <c r="C8" s="440" t="s">
        <v>1090</v>
      </c>
      <c r="D8" s="311" t="str">
        <f>+VLOOKUP(C8,ITEMS!A$4:C$101,2,0)</f>
        <v>Un</v>
      </c>
      <c r="E8" s="312">
        <f>2+2</f>
        <v>4</v>
      </c>
      <c r="F8" s="313">
        <f>+VLOOKUP(C8,ITEMS!A$4:D$101,3,0)</f>
        <v>3092862</v>
      </c>
      <c r="G8" s="313">
        <f>+E8*F8</f>
        <v>12371448</v>
      </c>
      <c r="H8" t="s">
        <v>852</v>
      </c>
    </row>
    <row r="9" spans="1:11" ht="28.5">
      <c r="A9" s="304">
        <v>2</v>
      </c>
      <c r="B9" s="276" t="s">
        <v>609</v>
      </c>
      <c r="C9" s="310" t="s">
        <v>612</v>
      </c>
      <c r="D9" s="252" t="str">
        <f>+VLOOKUP(C9,ITEMS!A$4:C$101,2,0)</f>
        <v>Un</v>
      </c>
      <c r="E9" s="418">
        <f>2+2</f>
        <v>4</v>
      </c>
      <c r="F9" s="307">
        <f>+VLOOKUP(C9,ITEMS!A$4:D$101,3,0)</f>
        <v>524196</v>
      </c>
      <c r="G9" s="307">
        <f t="shared" ref="G9:G19" si="0">+E9*F9</f>
        <v>2096784</v>
      </c>
      <c r="H9" t="s">
        <v>852</v>
      </c>
    </row>
    <row r="10" spans="1:11" ht="28.5">
      <c r="A10" s="304">
        <v>3</v>
      </c>
      <c r="B10" s="276"/>
      <c r="C10" s="310" t="s">
        <v>628</v>
      </c>
      <c r="D10" s="252" t="str">
        <f>+VLOOKUP(C10,ITEMS!A$4:C$101,2,0)</f>
        <v>Un</v>
      </c>
      <c r="E10" s="418">
        <v>2</v>
      </c>
      <c r="F10" s="307">
        <f>+VLOOKUP(C10,ITEMS!A$4:D$101,3,0)</f>
        <v>968212</v>
      </c>
      <c r="G10" s="307">
        <f t="shared" si="0"/>
        <v>1936424</v>
      </c>
      <c r="H10" t="s">
        <v>851</v>
      </c>
      <c r="I10" s="324"/>
      <c r="J10" s="324"/>
    </row>
    <row r="11" spans="1:11" ht="16.5">
      <c r="A11" s="308">
        <v>4</v>
      </c>
      <c r="B11" s="276" t="s">
        <v>613</v>
      </c>
      <c r="C11" s="310" t="s">
        <v>805</v>
      </c>
      <c r="D11" s="252" t="str">
        <f>+VLOOKUP(C11,ITEMS!A$4:C$101,2,0)</f>
        <v>Un</v>
      </c>
      <c r="E11" s="418">
        <f>5+2</f>
        <v>7</v>
      </c>
      <c r="F11" s="307">
        <f>+VLOOKUP(C11,ITEMS!A$4:D$101,3,0)</f>
        <v>2176709</v>
      </c>
      <c r="G11" s="307">
        <f t="shared" si="0"/>
        <v>15236963</v>
      </c>
      <c r="H11" t="s">
        <v>853</v>
      </c>
      <c r="I11" s="324"/>
      <c r="J11" s="324"/>
    </row>
    <row r="12" spans="1:11" ht="16.5">
      <c r="A12" s="304">
        <v>5</v>
      </c>
      <c r="B12" s="327" t="s">
        <v>685</v>
      </c>
      <c r="C12" s="310" t="s">
        <v>682</v>
      </c>
      <c r="D12" s="252" t="str">
        <f>+VLOOKUP(C12,ITEMS!A$4:C$101,2,0)</f>
        <v>m</v>
      </c>
      <c r="E12" s="418">
        <f>142+86</f>
        <v>228</v>
      </c>
      <c r="F12" s="307">
        <f>+VLOOKUP(C12,ITEMS!A$4:D$101,3,0)</f>
        <v>448214</v>
      </c>
      <c r="G12" s="307">
        <f t="shared" si="0"/>
        <v>102192792</v>
      </c>
      <c r="H12" t="s">
        <v>854</v>
      </c>
      <c r="I12" s="324"/>
      <c r="J12" s="324"/>
      <c r="K12" s="324"/>
    </row>
    <row r="13" spans="1:11" ht="28.5">
      <c r="A13" s="304">
        <v>6</v>
      </c>
      <c r="B13" s="327" t="s">
        <v>685</v>
      </c>
      <c r="C13" s="310" t="s">
        <v>684</v>
      </c>
      <c r="D13" s="252" t="str">
        <f>+VLOOKUP(C13,ITEMS!A$4:C$101,2,0)</f>
        <v>m</v>
      </c>
      <c r="E13" s="418">
        <f>37+15</f>
        <v>52</v>
      </c>
      <c r="F13" s="307">
        <f>+VLOOKUP(C13,ITEMS!A$4:D$101,3,0)</f>
        <v>709513</v>
      </c>
      <c r="G13" s="307">
        <f t="shared" si="0"/>
        <v>36894676</v>
      </c>
      <c r="H13" t="s">
        <v>855</v>
      </c>
      <c r="I13" s="324"/>
      <c r="J13" s="324"/>
      <c r="K13" s="324"/>
    </row>
    <row r="14" spans="1:11" ht="28.5">
      <c r="A14" s="308">
        <v>7</v>
      </c>
      <c r="B14" s="327"/>
      <c r="C14" s="310" t="s">
        <v>833</v>
      </c>
      <c r="D14" s="252" t="str">
        <f>+VLOOKUP(C14,ITEMS!A$4:C$101,2,0)</f>
        <v>m</v>
      </c>
      <c r="E14" s="418">
        <f>179+24+10+101+24+6</f>
        <v>344</v>
      </c>
      <c r="F14" s="307">
        <f>+VLOOKUP(C14,ITEMS!A$4:D$101,3,0)</f>
        <v>101944</v>
      </c>
      <c r="G14" s="307">
        <f t="shared" si="0"/>
        <v>35068736</v>
      </c>
      <c r="H14" t="s">
        <v>856</v>
      </c>
      <c r="I14" s="324"/>
      <c r="J14" s="324"/>
      <c r="K14" s="324"/>
    </row>
    <row r="15" spans="1:11" ht="16.5">
      <c r="A15" s="304">
        <v>8</v>
      </c>
      <c r="B15" s="327" t="s">
        <v>660</v>
      </c>
      <c r="C15" s="310" t="s">
        <v>636</v>
      </c>
      <c r="D15" s="252" t="str">
        <f>+VLOOKUP(C15,ITEMS!A$4:C$101,2,0)</f>
        <v>Un</v>
      </c>
      <c r="E15" s="418">
        <f>1+1</f>
        <v>2</v>
      </c>
      <c r="F15" s="307">
        <f>+VLOOKUP(C15,ITEMS!A$4:D$101,3,0)</f>
        <v>775107</v>
      </c>
      <c r="G15" s="307">
        <f t="shared" si="0"/>
        <v>1550214</v>
      </c>
      <c r="H15" t="s">
        <v>857</v>
      </c>
      <c r="I15" s="324"/>
      <c r="J15" s="324"/>
      <c r="K15" s="324"/>
    </row>
    <row r="16" spans="1:11" ht="16.5">
      <c r="A16" s="304">
        <v>9</v>
      </c>
      <c r="B16" s="306"/>
      <c r="C16" s="310" t="s">
        <v>629</v>
      </c>
      <c r="D16" s="252" t="str">
        <f>+VLOOKUP(C16,ITEMS!A$4:C$101,2,0)</f>
        <v>Un</v>
      </c>
      <c r="E16" s="418">
        <v>2</v>
      </c>
      <c r="F16" s="307">
        <f>+VLOOKUP(C16,ITEMS!A$4:D$101,3,0)</f>
        <v>461792</v>
      </c>
      <c r="G16" s="307">
        <f t="shared" si="0"/>
        <v>923584</v>
      </c>
      <c r="I16" s="324"/>
      <c r="J16" s="324"/>
      <c r="K16" s="324"/>
    </row>
    <row r="17" spans="1:12" ht="16.5">
      <c r="A17" s="308">
        <v>10</v>
      </c>
      <c r="B17" s="316"/>
      <c r="C17" s="310" t="s">
        <v>666</v>
      </c>
      <c r="D17" s="252" t="str">
        <f>+VLOOKUP(C17,ITEMS!A$4:C$101,2,0)</f>
        <v>Un</v>
      </c>
      <c r="E17" s="418">
        <f>8+6</f>
        <v>14</v>
      </c>
      <c r="F17" s="307">
        <f>+VLOOKUP(C17,ITEMS!A$4:D$101,3,0)</f>
        <v>130900</v>
      </c>
      <c r="G17" s="307">
        <f t="shared" si="0"/>
        <v>1832600</v>
      </c>
      <c r="H17" t="s">
        <v>858</v>
      </c>
      <c r="I17" s="324"/>
      <c r="J17" s="324"/>
      <c r="K17" s="324"/>
      <c r="L17" s="325"/>
    </row>
    <row r="18" spans="1:12" ht="16.5">
      <c r="A18" s="304">
        <v>11</v>
      </c>
      <c r="B18" s="316"/>
      <c r="C18" s="310" t="s">
        <v>723</v>
      </c>
      <c r="D18" s="252" t="str">
        <f>+VLOOKUP(C18,ITEMS!A$4:C$101,2,0)</f>
        <v>Un</v>
      </c>
      <c r="E18" s="418">
        <v>0</v>
      </c>
      <c r="F18" s="307">
        <f>+VLOOKUP(C18,ITEMS!A$4:D$101,3,0)</f>
        <v>130900</v>
      </c>
      <c r="G18" s="307">
        <f t="shared" si="0"/>
        <v>0</v>
      </c>
      <c r="H18" s="324"/>
      <c r="I18" s="324"/>
      <c r="J18" s="324"/>
      <c r="K18" s="324"/>
    </row>
    <row r="19" spans="1:12" ht="16.5">
      <c r="A19" s="304">
        <v>12</v>
      </c>
      <c r="B19" s="316"/>
      <c r="C19" s="310" t="s">
        <v>668</v>
      </c>
      <c r="D19" s="252" t="str">
        <f>+VLOOKUP(C19,ITEMS!A$4:C$101,2,0)</f>
        <v>Un</v>
      </c>
      <c r="E19" s="418">
        <f>6+4+5</f>
        <v>15</v>
      </c>
      <c r="F19" s="307">
        <f>+VLOOKUP(C19,ITEMS!A$4:D$101,3,0)</f>
        <v>284256</v>
      </c>
      <c r="G19" s="307">
        <f t="shared" si="0"/>
        <v>4263840</v>
      </c>
      <c r="H19" t="s">
        <v>859</v>
      </c>
      <c r="I19" s="324"/>
      <c r="J19" s="324"/>
      <c r="K19" s="324"/>
    </row>
    <row r="20" spans="1:12" ht="16.5">
      <c r="A20" s="308">
        <v>13</v>
      </c>
      <c r="B20" s="316"/>
      <c r="C20" s="310" t="s">
        <v>657</v>
      </c>
      <c r="D20" s="314" t="str">
        <f>+VLOOKUP(C20,ITEMS!A$4:C$101,2,0)</f>
        <v>m</v>
      </c>
      <c r="E20" s="419">
        <f>179+101</f>
        <v>280</v>
      </c>
      <c r="F20" s="315">
        <f>+VLOOKUP(C20,ITEMS!A$4:D$101,3,0)</f>
        <v>7935</v>
      </c>
      <c r="G20" s="315">
        <f>+E20*F20</f>
        <v>2221800</v>
      </c>
      <c r="H20" t="s">
        <v>860</v>
      </c>
      <c r="I20" s="324"/>
      <c r="J20" s="324"/>
      <c r="K20" s="324"/>
    </row>
    <row r="21" spans="1:12" ht="28.5">
      <c r="A21" s="304">
        <v>14</v>
      </c>
      <c r="B21" s="316" t="s">
        <v>943</v>
      </c>
      <c r="C21" s="310" t="s">
        <v>697</v>
      </c>
      <c r="D21" s="320" t="str">
        <f>+VLOOKUP(C21,ITEMS!A$4:C$101,2,0)</f>
        <v>Un</v>
      </c>
      <c r="E21" s="421">
        <f>2+2</f>
        <v>4</v>
      </c>
      <c r="F21" s="315">
        <f>+VLOOKUP(C21,ITEMS!A$4:D$101,3,0)</f>
        <v>752387</v>
      </c>
      <c r="G21" s="315">
        <f>+E21*F21</f>
        <v>3009548</v>
      </c>
      <c r="H21" t="s">
        <v>861</v>
      </c>
      <c r="I21" s="324"/>
      <c r="J21" s="324"/>
      <c r="K21" s="324"/>
    </row>
    <row r="22" spans="1:12" ht="16.5">
      <c r="A22" s="304">
        <v>15</v>
      </c>
      <c r="B22" s="316" t="s">
        <v>944</v>
      </c>
      <c r="C22" s="310" t="s">
        <v>716</v>
      </c>
      <c r="D22" s="320" t="str">
        <f>+VLOOKUP(C22,ITEMS!A$4:C$101,2,0)</f>
        <v>Un</v>
      </c>
      <c r="E22" s="421">
        <f>2+2</f>
        <v>4</v>
      </c>
      <c r="F22" s="315">
        <f>+VLOOKUP(C22,ITEMS!A$4:D$101,3,0)</f>
        <v>1107456</v>
      </c>
      <c r="G22" s="315">
        <f>+E22*F22</f>
        <v>4429824</v>
      </c>
      <c r="H22" t="s">
        <v>861</v>
      </c>
      <c r="I22" s="324"/>
      <c r="J22" s="324"/>
      <c r="K22" s="324"/>
    </row>
    <row r="23" spans="1:12" ht="16.5">
      <c r="A23" s="308">
        <v>16</v>
      </c>
      <c r="B23" s="369"/>
      <c r="C23" s="310" t="s">
        <v>663</v>
      </c>
      <c r="D23" s="320" t="str">
        <f>+VLOOKUP(C23,ITEMS!A$4:C$101,2,0)</f>
        <v>Un</v>
      </c>
      <c r="E23" s="420">
        <f>1+1</f>
        <v>2</v>
      </c>
      <c r="F23" s="315">
        <f>+VLOOKUP(C23,ITEMS!A$4:D$101,3,0)</f>
        <v>721080</v>
      </c>
      <c r="G23" s="315">
        <f>+E23*F23</f>
        <v>1442160</v>
      </c>
      <c r="H23" t="s">
        <v>862</v>
      </c>
      <c r="I23" s="324"/>
      <c r="J23" s="324"/>
      <c r="K23" s="324"/>
    </row>
    <row r="24" spans="1:12" ht="16.5">
      <c r="A24" s="322"/>
      <c r="B24" s="316"/>
      <c r="C24" s="317"/>
      <c r="D24" s="318"/>
      <c r="E24" s="326"/>
      <c r="F24" s="319"/>
      <c r="G24" s="319"/>
    </row>
    <row r="25" spans="1:12" ht="16.5">
      <c r="A25" s="336"/>
      <c r="B25" s="348"/>
      <c r="C25" s="349" t="s">
        <v>719</v>
      </c>
      <c r="D25" s="350"/>
      <c r="E25" s="350"/>
      <c r="F25" s="348"/>
      <c r="G25" s="360">
        <f>SUM(G8:G24)</f>
        <v>225471393</v>
      </c>
    </row>
    <row r="26" spans="1:12" ht="16.5">
      <c r="A26" s="351"/>
      <c r="B26" s="352"/>
      <c r="C26" s="353"/>
      <c r="D26" s="354"/>
      <c r="E26" s="354"/>
      <c r="F26" s="352"/>
      <c r="G26" s="355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5"/>
  <sheetViews>
    <sheetView workbookViewId="0">
      <selection activeCell="C27" sqref="C27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7" max="7" width="11.75" bestFit="1" customWidth="1"/>
  </cols>
  <sheetData>
    <row r="1" spans="1:11">
      <c r="A1" s="875" t="s">
        <v>940</v>
      </c>
      <c r="B1" s="875"/>
      <c r="C1" s="875"/>
      <c r="D1" s="875"/>
      <c r="E1" s="875"/>
      <c r="F1" s="875"/>
      <c r="G1" s="875"/>
    </row>
    <row r="2" spans="1:11">
      <c r="A2" s="875"/>
      <c r="B2" s="875"/>
      <c r="C2" s="875"/>
      <c r="D2" s="875"/>
      <c r="E2" s="875"/>
      <c r="F2" s="875"/>
      <c r="G2" s="875"/>
    </row>
    <row r="3" spans="1:11">
      <c r="A3" s="876"/>
      <c r="B3" s="876"/>
      <c r="C3" s="876"/>
      <c r="D3" s="876"/>
      <c r="E3" s="876"/>
      <c r="F3" s="876"/>
      <c r="G3" s="876"/>
    </row>
    <row r="4" spans="1:11" ht="30" customHeight="1">
      <c r="A4" s="870" t="s">
        <v>667</v>
      </c>
      <c r="B4" s="870"/>
      <c r="C4" s="870"/>
      <c r="D4" s="870"/>
      <c r="E4" s="870"/>
      <c r="F4" s="870"/>
      <c r="G4" s="870"/>
    </row>
    <row r="5" spans="1:11" ht="15.75" customHeight="1">
      <c r="A5" s="872"/>
      <c r="B5" s="873"/>
      <c r="C5" s="873"/>
      <c r="D5" s="873"/>
      <c r="E5" s="873"/>
      <c r="F5" s="873"/>
      <c r="G5" s="877"/>
    </row>
    <row r="6" spans="1:11" ht="15.75" customHeight="1">
      <c r="A6" s="347"/>
      <c r="B6" s="358"/>
      <c r="C6" s="358" t="s">
        <v>718</v>
      </c>
      <c r="D6" s="358"/>
      <c r="E6" s="358"/>
      <c r="F6" s="358"/>
      <c r="G6" s="358"/>
    </row>
    <row r="7" spans="1:11" ht="25.5">
      <c r="A7" s="345" t="s">
        <v>593</v>
      </c>
      <c r="B7" s="345" t="s">
        <v>611</v>
      </c>
      <c r="C7" s="345" t="s">
        <v>594</v>
      </c>
      <c r="D7" s="345" t="s">
        <v>630</v>
      </c>
      <c r="E7" s="345" t="s">
        <v>656</v>
      </c>
      <c r="F7" s="346" t="s">
        <v>655</v>
      </c>
      <c r="G7" s="346" t="s">
        <v>610</v>
      </c>
    </row>
    <row r="8" spans="1:11" ht="60">
      <c r="A8" s="308">
        <v>1</v>
      </c>
      <c r="B8" s="309" t="s">
        <v>608</v>
      </c>
      <c r="C8" s="440" t="s">
        <v>1090</v>
      </c>
      <c r="D8" s="311" t="str">
        <f>+VLOOKUP(C8,ITEMS!A$4:C$101,2,0)</f>
        <v>Un</v>
      </c>
      <c r="E8" s="312">
        <v>2</v>
      </c>
      <c r="F8" s="313">
        <f>+VLOOKUP(C8,ITEMS!A$4:D$101,3,0)</f>
        <v>3092862</v>
      </c>
      <c r="G8" s="313">
        <f>+E8*F8</f>
        <v>6185724</v>
      </c>
      <c r="H8" t="s">
        <v>886</v>
      </c>
    </row>
    <row r="9" spans="1:11" ht="28.5">
      <c r="A9" s="304">
        <v>2</v>
      </c>
      <c r="B9" s="276" t="s">
        <v>609</v>
      </c>
      <c r="C9" s="310" t="s">
        <v>612</v>
      </c>
      <c r="D9" s="252" t="str">
        <f>+VLOOKUP(C9,ITEMS!A$4:C$101,2,0)</f>
        <v>Un</v>
      </c>
      <c r="E9" s="312">
        <v>2</v>
      </c>
      <c r="F9" s="307">
        <f>+VLOOKUP(C9,ITEMS!A$4:D$101,3,0)</f>
        <v>524196</v>
      </c>
      <c r="G9" s="307">
        <f t="shared" ref="G9:G18" si="0">+E9*F9</f>
        <v>1048392</v>
      </c>
      <c r="H9" t="s">
        <v>886</v>
      </c>
    </row>
    <row r="10" spans="1:11" ht="28.5">
      <c r="A10" s="304">
        <v>3</v>
      </c>
      <c r="B10" s="276"/>
      <c r="C10" s="310" t="s">
        <v>628</v>
      </c>
      <c r="D10" s="252" t="str">
        <f>+VLOOKUP(C10,ITEMS!A$4:C$101,2,0)</f>
        <v>Un</v>
      </c>
      <c r="E10" s="312">
        <v>1</v>
      </c>
      <c r="F10" s="307">
        <f>+VLOOKUP(C10,ITEMS!A$4:D$101,3,0)</f>
        <v>968212</v>
      </c>
      <c r="G10" s="307">
        <f t="shared" si="0"/>
        <v>968212</v>
      </c>
      <c r="H10" t="s">
        <v>887</v>
      </c>
      <c r="I10" s="324"/>
      <c r="J10" s="324"/>
    </row>
    <row r="11" spans="1:11" ht="16.5">
      <c r="A11" s="308">
        <v>4</v>
      </c>
      <c r="B11" s="276" t="s">
        <v>613</v>
      </c>
      <c r="C11" s="310" t="s">
        <v>805</v>
      </c>
      <c r="D11" s="252" t="str">
        <f>+VLOOKUP(C11,ITEMS!A$4:C$101,2,0)</f>
        <v>Un</v>
      </c>
      <c r="E11" s="418">
        <v>4</v>
      </c>
      <c r="F11" s="307">
        <f>+VLOOKUP(C11,ITEMS!A$4:D$101,3,0)</f>
        <v>2176709</v>
      </c>
      <c r="G11" s="307">
        <f t="shared" si="0"/>
        <v>8706836</v>
      </c>
      <c r="H11" t="s">
        <v>888</v>
      </c>
      <c r="I11" s="324"/>
      <c r="J11" s="324"/>
    </row>
    <row r="12" spans="1:11" ht="16.5">
      <c r="A12" s="304">
        <v>5</v>
      </c>
      <c r="B12" s="327" t="s">
        <v>685</v>
      </c>
      <c r="C12" s="310" t="s">
        <v>682</v>
      </c>
      <c r="D12" s="252" t="str">
        <f>+VLOOKUP(C12,ITEMS!A$4:C$101,2,0)</f>
        <v>m</v>
      </c>
      <c r="E12" s="418">
        <v>94</v>
      </c>
      <c r="F12" s="307">
        <f>+VLOOKUP(C12,ITEMS!A$4:D$101,3,0)</f>
        <v>448214</v>
      </c>
      <c r="G12" s="307">
        <f t="shared" si="0"/>
        <v>42132116</v>
      </c>
      <c r="H12" t="s">
        <v>889</v>
      </c>
      <c r="I12" s="324"/>
      <c r="J12" s="324"/>
      <c r="K12" s="324"/>
    </row>
    <row r="13" spans="1:11" ht="28.5">
      <c r="A13" s="304">
        <v>6</v>
      </c>
      <c r="B13" s="327" t="s">
        <v>685</v>
      </c>
      <c r="C13" s="310" t="s">
        <v>684</v>
      </c>
      <c r="D13" s="252" t="str">
        <f>+VLOOKUP(C13,ITEMS!A$4:C$101,2,0)</f>
        <v>m</v>
      </c>
      <c r="E13" s="418">
        <v>10</v>
      </c>
      <c r="F13" s="307">
        <f>+VLOOKUP(C13,ITEMS!A$4:D$101,3,0)</f>
        <v>709513</v>
      </c>
      <c r="G13" s="307">
        <f t="shared" si="0"/>
        <v>7095130</v>
      </c>
      <c r="H13" t="s">
        <v>890</v>
      </c>
      <c r="I13" s="324"/>
      <c r="J13" s="324"/>
      <c r="K13" s="324"/>
    </row>
    <row r="14" spans="1:11" ht="28.5">
      <c r="A14" s="308">
        <v>7</v>
      </c>
      <c r="B14" s="327"/>
      <c r="C14" s="310" t="s">
        <v>833</v>
      </c>
      <c r="D14" s="252" t="str">
        <f>+VLOOKUP(C14,ITEMS!A$4:C$101,2,0)</f>
        <v>m</v>
      </c>
      <c r="E14" s="418">
        <f>104+24+8</f>
        <v>136</v>
      </c>
      <c r="F14" s="307">
        <f>+VLOOKUP(C14,ITEMS!A$4:D$101,3,0)</f>
        <v>101944</v>
      </c>
      <c r="G14" s="307">
        <f t="shared" si="0"/>
        <v>13864384</v>
      </c>
      <c r="H14" t="s">
        <v>891</v>
      </c>
      <c r="I14" s="324"/>
      <c r="J14" s="324"/>
      <c r="K14" s="324"/>
    </row>
    <row r="15" spans="1:11" ht="16.5">
      <c r="A15" s="304">
        <v>8</v>
      </c>
      <c r="B15" s="327" t="s">
        <v>660</v>
      </c>
      <c r="C15" s="310" t="s">
        <v>636</v>
      </c>
      <c r="D15" s="252" t="str">
        <f>+VLOOKUP(C15,ITEMS!A$4:C$101,2,0)</f>
        <v>Un</v>
      </c>
      <c r="E15" s="418">
        <v>1</v>
      </c>
      <c r="F15" s="307">
        <f>+VLOOKUP(C15,ITEMS!A$4:D$101,3,0)</f>
        <v>775107</v>
      </c>
      <c r="G15" s="307">
        <f t="shared" si="0"/>
        <v>775107</v>
      </c>
      <c r="H15" t="s">
        <v>887</v>
      </c>
      <c r="I15" s="324"/>
      <c r="J15" s="324"/>
      <c r="K15" s="324"/>
    </row>
    <row r="16" spans="1:11" ht="16.5">
      <c r="A16" s="304">
        <v>9</v>
      </c>
      <c r="B16" s="306"/>
      <c r="C16" s="310" t="s">
        <v>629</v>
      </c>
      <c r="D16" s="252" t="str">
        <f>+VLOOKUP(C16,ITEMS!A$4:C$101,2,0)</f>
        <v>Un</v>
      </c>
      <c r="E16" s="418">
        <v>1</v>
      </c>
      <c r="F16" s="307">
        <f>+VLOOKUP(C16,ITEMS!A$4:D$101,3,0)</f>
        <v>461792</v>
      </c>
      <c r="G16" s="307">
        <f t="shared" si="0"/>
        <v>461792</v>
      </c>
      <c r="H16" t="s">
        <v>887</v>
      </c>
      <c r="I16" s="324"/>
      <c r="J16" s="324"/>
      <c r="K16" s="324"/>
    </row>
    <row r="17" spans="1:12" ht="16.5">
      <c r="A17" s="308">
        <v>10</v>
      </c>
      <c r="B17" s="316"/>
      <c r="C17" s="310" t="s">
        <v>666</v>
      </c>
      <c r="D17" s="252" t="str">
        <f>+VLOOKUP(C17,ITEMS!A$4:C$101,2,0)</f>
        <v>Un</v>
      </c>
      <c r="E17" s="418">
        <v>5</v>
      </c>
      <c r="F17" s="307">
        <f>+VLOOKUP(C17,ITEMS!A$4:D$101,3,0)</f>
        <v>130900</v>
      </c>
      <c r="G17" s="307">
        <f t="shared" si="0"/>
        <v>654500</v>
      </c>
      <c r="H17" t="s">
        <v>892</v>
      </c>
      <c r="I17" s="324"/>
      <c r="J17" s="324"/>
      <c r="K17" s="324"/>
      <c r="L17" s="325"/>
    </row>
    <row r="18" spans="1:12" ht="16.5">
      <c r="A18" s="304">
        <v>11</v>
      </c>
      <c r="B18" s="316"/>
      <c r="C18" s="310" t="s">
        <v>668</v>
      </c>
      <c r="D18" s="252" t="str">
        <f>+VLOOKUP(C18,ITEMS!A$4:C$101,2,0)</f>
        <v>Un</v>
      </c>
      <c r="E18" s="418">
        <v>3</v>
      </c>
      <c r="F18" s="307">
        <f>+VLOOKUP(C18,ITEMS!A$4:D$101,3,0)</f>
        <v>284256</v>
      </c>
      <c r="G18" s="307">
        <f t="shared" si="0"/>
        <v>852768</v>
      </c>
      <c r="H18" t="s">
        <v>893</v>
      </c>
      <c r="I18" s="324"/>
      <c r="J18" s="324"/>
      <c r="K18" s="324"/>
    </row>
    <row r="19" spans="1:12" ht="16.5">
      <c r="A19" s="304">
        <v>12</v>
      </c>
      <c r="B19" s="316"/>
      <c r="C19" s="310" t="s">
        <v>657</v>
      </c>
      <c r="D19" s="314" t="str">
        <f>+VLOOKUP(C19,ITEMS!A$4:C$101,2,0)</f>
        <v>m</v>
      </c>
      <c r="E19" s="419">
        <v>110</v>
      </c>
      <c r="F19" s="315">
        <f>+VLOOKUP(C19,ITEMS!A$4:D$101,3,0)</f>
        <v>7935</v>
      </c>
      <c r="G19" s="315">
        <f>+E19*F19</f>
        <v>872850</v>
      </c>
      <c r="H19" t="s">
        <v>894</v>
      </c>
      <c r="I19" s="324"/>
      <c r="J19" s="324"/>
      <c r="K19" s="324"/>
    </row>
    <row r="20" spans="1:12" ht="28.5">
      <c r="A20" s="308">
        <v>13</v>
      </c>
      <c r="B20" s="316" t="s">
        <v>943</v>
      </c>
      <c r="C20" s="310" t="s">
        <v>697</v>
      </c>
      <c r="D20" s="320" t="str">
        <f>+VLOOKUP(C20,ITEMS!A$4:C$101,2,0)</f>
        <v>Un</v>
      </c>
      <c r="E20" s="421">
        <v>2</v>
      </c>
      <c r="F20" s="315">
        <f>+VLOOKUP(C20,ITEMS!A$4:D$101,3,0)</f>
        <v>752387</v>
      </c>
      <c r="G20" s="315">
        <f>+E20*F20</f>
        <v>1504774</v>
      </c>
      <c r="H20" t="s">
        <v>886</v>
      </c>
      <c r="I20" s="324"/>
      <c r="J20" s="324"/>
      <c r="K20" s="324"/>
    </row>
    <row r="21" spans="1:12" ht="16.5">
      <c r="A21" s="304">
        <v>14</v>
      </c>
      <c r="B21" s="316" t="s">
        <v>944</v>
      </c>
      <c r="C21" s="310" t="s">
        <v>716</v>
      </c>
      <c r="D21" s="320" t="str">
        <f>+VLOOKUP(C21,ITEMS!A$4:C$101,2,0)</f>
        <v>Un</v>
      </c>
      <c r="E21" s="421">
        <v>2</v>
      </c>
      <c r="F21" s="315">
        <f>+VLOOKUP(C21,ITEMS!A$4:D$101,3,0)</f>
        <v>1107456</v>
      </c>
      <c r="G21" s="315">
        <f>+E21*F21</f>
        <v>2214912</v>
      </c>
      <c r="H21" t="s">
        <v>886</v>
      </c>
      <c r="I21" s="324"/>
      <c r="J21" s="324"/>
      <c r="K21" s="324"/>
    </row>
    <row r="22" spans="1:12" ht="16.5">
      <c r="A22" s="304">
        <v>15</v>
      </c>
      <c r="B22" s="369"/>
      <c r="C22" s="310" t="s">
        <v>663</v>
      </c>
      <c r="D22" s="320" t="str">
        <f>+VLOOKUP(C22,ITEMS!A$4:C$101,2,0)</f>
        <v>Un</v>
      </c>
      <c r="E22" s="420">
        <v>1</v>
      </c>
      <c r="F22" s="315">
        <f>+VLOOKUP(C22,ITEMS!A$4:D$101,3,0)</f>
        <v>721080</v>
      </c>
      <c r="G22" s="315">
        <f>+E22*F22</f>
        <v>721080</v>
      </c>
      <c r="H22" t="s">
        <v>887</v>
      </c>
      <c r="I22" s="324"/>
      <c r="J22" s="324"/>
      <c r="K22" s="324"/>
    </row>
    <row r="23" spans="1:12" ht="16.5">
      <c r="A23" s="322"/>
      <c r="B23" s="316"/>
      <c r="C23" s="317"/>
      <c r="D23" s="318"/>
      <c r="E23" s="326"/>
      <c r="F23" s="319"/>
      <c r="G23" s="319"/>
    </row>
    <row r="24" spans="1:12" ht="16.5">
      <c r="A24" s="336"/>
      <c r="B24" s="348"/>
      <c r="C24" s="349" t="s">
        <v>719</v>
      </c>
      <c r="D24" s="350"/>
      <c r="E24" s="350"/>
      <c r="F24" s="348"/>
      <c r="G24" s="360">
        <f>SUM(G8:G23)</f>
        <v>88058577</v>
      </c>
    </row>
    <row r="25" spans="1:12" ht="16.5">
      <c r="A25" s="351"/>
      <c r="B25" s="352"/>
      <c r="C25" s="353"/>
      <c r="D25" s="354"/>
      <c r="E25" s="354"/>
      <c r="F25" s="352"/>
      <c r="G25" s="355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0"/>
  <sheetViews>
    <sheetView workbookViewId="0">
      <selection activeCell="A11" sqref="A11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6" max="7" width="12.625" bestFit="1" customWidth="1"/>
    <col min="8" max="8" width="57.375" bestFit="1" customWidth="1"/>
  </cols>
  <sheetData>
    <row r="1" spans="1:11">
      <c r="A1" s="875" t="s">
        <v>874</v>
      </c>
      <c r="B1" s="875"/>
      <c r="C1" s="875"/>
      <c r="D1" s="875"/>
      <c r="E1" s="875"/>
      <c r="F1" s="875"/>
      <c r="G1" s="875"/>
    </row>
    <row r="2" spans="1:11">
      <c r="A2" s="875"/>
      <c r="B2" s="875"/>
      <c r="C2" s="875"/>
      <c r="D2" s="875"/>
      <c r="E2" s="875"/>
      <c r="F2" s="875"/>
      <c r="G2" s="875"/>
    </row>
    <row r="3" spans="1:11">
      <c r="A3" s="876"/>
      <c r="B3" s="876"/>
      <c r="C3" s="876"/>
      <c r="D3" s="876"/>
      <c r="E3" s="876"/>
      <c r="F3" s="876"/>
      <c r="G3" s="876"/>
    </row>
    <row r="4" spans="1:11" ht="30" customHeight="1">
      <c r="A4" s="870" t="s">
        <v>667</v>
      </c>
      <c r="B4" s="870"/>
      <c r="C4" s="870"/>
      <c r="D4" s="870"/>
      <c r="E4" s="870"/>
      <c r="F4" s="870"/>
      <c r="G4" s="878"/>
      <c r="H4" s="371"/>
    </row>
    <row r="5" spans="1:11" ht="15.75" customHeight="1">
      <c r="A5" s="872"/>
      <c r="B5" s="873"/>
      <c r="C5" s="873"/>
      <c r="D5" s="873"/>
      <c r="E5" s="873"/>
      <c r="F5" s="873"/>
      <c r="G5" s="879"/>
      <c r="H5" s="371"/>
    </row>
    <row r="6" spans="1:11" ht="15.75" customHeight="1">
      <c r="A6" s="347"/>
      <c r="B6" s="358"/>
      <c r="C6" s="358" t="s">
        <v>718</v>
      </c>
      <c r="D6" s="358"/>
      <c r="E6" s="358"/>
      <c r="F6" s="358"/>
      <c r="G6" s="699"/>
      <c r="H6" s="477"/>
    </row>
    <row r="7" spans="1:11" ht="25.5">
      <c r="A7" s="345" t="s">
        <v>593</v>
      </c>
      <c r="B7" s="345" t="s">
        <v>611</v>
      </c>
      <c r="C7" s="345" t="s">
        <v>594</v>
      </c>
      <c r="D7" s="345" t="s">
        <v>630</v>
      </c>
      <c r="E7" s="345" t="s">
        <v>656</v>
      </c>
      <c r="F7" s="346" t="s">
        <v>655</v>
      </c>
      <c r="G7" s="700" t="s">
        <v>610</v>
      </c>
      <c r="H7" s="346" t="s">
        <v>1137</v>
      </c>
    </row>
    <row r="8" spans="1:11" ht="60">
      <c r="A8" s="308">
        <v>1</v>
      </c>
      <c r="B8" s="309" t="s">
        <v>608</v>
      </c>
      <c r="C8" s="440" t="s">
        <v>1090</v>
      </c>
      <c r="D8" s="311" t="str">
        <f>+VLOOKUP(C8,ITEMS!A$4:C$101,2,0)</f>
        <v>Un</v>
      </c>
      <c r="E8" s="312">
        <v>2</v>
      </c>
      <c r="F8" s="313">
        <f>+VLOOKUP(C8,ITEMS!A$4:D$101,3,0)</f>
        <v>3092862</v>
      </c>
      <c r="G8" s="627">
        <f>+E8*F8</f>
        <v>6185724</v>
      </c>
      <c r="H8" s="395" t="s">
        <v>863</v>
      </c>
      <c r="I8" s="324"/>
      <c r="J8" s="324"/>
      <c r="K8" s="324"/>
    </row>
    <row r="9" spans="1:11" ht="28.5">
      <c r="A9" s="304">
        <v>2</v>
      </c>
      <c r="B9" s="276" t="s">
        <v>609</v>
      </c>
      <c r="C9" s="310" t="s">
        <v>612</v>
      </c>
      <c r="D9" s="252" t="str">
        <f>+VLOOKUP(C9,ITEMS!A$4:C$101,2,0)</f>
        <v>Un</v>
      </c>
      <c r="E9" s="312">
        <v>2</v>
      </c>
      <c r="F9" s="307">
        <f>+VLOOKUP(C9,ITEMS!A$4:D$101,3,0)</f>
        <v>524196</v>
      </c>
      <c r="G9" s="701">
        <f t="shared" ref="G9:G18" si="0">+E9*F9</f>
        <v>1048392</v>
      </c>
      <c r="H9" s="395" t="s">
        <v>863</v>
      </c>
      <c r="I9" s="324"/>
      <c r="J9" s="324"/>
      <c r="K9" s="324"/>
    </row>
    <row r="10" spans="1:11" ht="28.5">
      <c r="A10" s="304">
        <v>3</v>
      </c>
      <c r="B10" s="276"/>
      <c r="C10" s="310" t="s">
        <v>628</v>
      </c>
      <c r="D10" s="252" t="str">
        <f>+VLOOKUP(C10,ITEMS!A$4:C$101,2,0)</f>
        <v>Un</v>
      </c>
      <c r="E10" s="312">
        <v>1</v>
      </c>
      <c r="F10" s="307">
        <f>+VLOOKUP(C10,ITEMS!A$4:D$101,3,0)</f>
        <v>968212</v>
      </c>
      <c r="G10" s="701">
        <f t="shared" si="0"/>
        <v>968212</v>
      </c>
      <c r="H10" s="371" t="s">
        <v>863</v>
      </c>
      <c r="I10" s="324"/>
      <c r="J10" s="324"/>
    </row>
    <row r="11" spans="1:11" ht="16.5">
      <c r="A11" s="308">
        <v>4</v>
      </c>
      <c r="B11" s="276" t="s">
        <v>613</v>
      </c>
      <c r="C11" s="310" t="s">
        <v>805</v>
      </c>
      <c r="D11" s="252" t="str">
        <f>+VLOOKUP(C11,ITEMS!A$4:C$101,2,0)</f>
        <v>Un</v>
      </c>
      <c r="E11" s="418">
        <v>3</v>
      </c>
      <c r="F11" s="307">
        <f>+VLOOKUP(C11,ITEMS!A$4:D$101,3,0)</f>
        <v>2176709</v>
      </c>
      <c r="G11" s="701">
        <f t="shared" si="0"/>
        <v>6530127</v>
      </c>
      <c r="H11" s="371" t="s">
        <v>864</v>
      </c>
      <c r="I11" s="324"/>
      <c r="J11" s="324"/>
    </row>
    <row r="12" spans="1:11" ht="16.5">
      <c r="A12" s="304">
        <v>5</v>
      </c>
      <c r="B12" s="327" t="s">
        <v>685</v>
      </c>
      <c r="C12" s="310" t="s">
        <v>682</v>
      </c>
      <c r="D12" s="252" t="str">
        <f>+VLOOKUP(C12,ITEMS!A$4:C$101,2,0)</f>
        <v>m</v>
      </c>
      <c r="E12" s="418">
        <v>76</v>
      </c>
      <c r="F12" s="307">
        <f>+VLOOKUP(C12,ITEMS!A$4:D$101,3,0)</f>
        <v>448214</v>
      </c>
      <c r="G12" s="701">
        <f t="shared" si="0"/>
        <v>34064264</v>
      </c>
      <c r="H12" s="371" t="s">
        <v>865</v>
      </c>
      <c r="I12" s="324"/>
      <c r="J12" s="324"/>
      <c r="K12" s="324"/>
    </row>
    <row r="13" spans="1:11" ht="28.5">
      <c r="A13" s="304">
        <v>6</v>
      </c>
      <c r="B13" s="327" t="s">
        <v>685</v>
      </c>
      <c r="C13" s="310" t="s">
        <v>684</v>
      </c>
      <c r="D13" s="252" t="str">
        <f>+VLOOKUP(C13,ITEMS!A$4:C$101,2,0)</f>
        <v>m</v>
      </c>
      <c r="E13" s="418">
        <v>10</v>
      </c>
      <c r="F13" s="307">
        <f>+VLOOKUP(C13,ITEMS!A$4:D$101,3,0)</f>
        <v>709513</v>
      </c>
      <c r="G13" s="701">
        <f t="shared" si="0"/>
        <v>7095130</v>
      </c>
      <c r="H13" s="371" t="s">
        <v>866</v>
      </c>
      <c r="I13" s="324"/>
      <c r="J13" s="324"/>
      <c r="K13" s="324"/>
    </row>
    <row r="14" spans="1:11" ht="28.5">
      <c r="A14" s="308">
        <v>7</v>
      </c>
      <c r="B14" s="327"/>
      <c r="C14" s="310" t="s">
        <v>833</v>
      </c>
      <c r="D14" s="252" t="str">
        <f>+VLOOKUP(C14,ITEMS!A$4:C$101,2,0)</f>
        <v>m</v>
      </c>
      <c r="E14" s="418">
        <f>86+24+6</f>
        <v>116</v>
      </c>
      <c r="F14" s="307">
        <f>+VLOOKUP(C14,ITEMS!A$4:D$101,3,0)</f>
        <v>101944</v>
      </c>
      <c r="G14" s="701">
        <f t="shared" si="0"/>
        <v>11825504</v>
      </c>
      <c r="H14" s="371" t="s">
        <v>867</v>
      </c>
      <c r="I14" s="324"/>
      <c r="J14" s="324"/>
      <c r="K14" s="324"/>
    </row>
    <row r="15" spans="1:11" ht="16.5">
      <c r="A15" s="304">
        <v>8</v>
      </c>
      <c r="B15" s="327" t="s">
        <v>660</v>
      </c>
      <c r="C15" s="310" t="s">
        <v>636</v>
      </c>
      <c r="D15" s="252" t="str">
        <f>+VLOOKUP(C15,ITEMS!A$4:C$101,2,0)</f>
        <v>Un</v>
      </c>
      <c r="E15" s="418">
        <v>2</v>
      </c>
      <c r="F15" s="307">
        <f>+VLOOKUP(C15,ITEMS!A$4:D$101,3,0)</f>
        <v>775107</v>
      </c>
      <c r="G15" s="701">
        <f t="shared" si="0"/>
        <v>1550214</v>
      </c>
      <c r="H15" s="371" t="s">
        <v>868</v>
      </c>
      <c r="I15" s="324"/>
      <c r="J15" s="324"/>
      <c r="K15" s="324"/>
    </row>
    <row r="16" spans="1:11" ht="16.5">
      <c r="A16" s="304">
        <v>9</v>
      </c>
      <c r="B16" s="306"/>
      <c r="C16" s="310" t="s">
        <v>629</v>
      </c>
      <c r="D16" s="252" t="str">
        <f>+VLOOKUP(C16,ITEMS!A$4:C$101,2,0)</f>
        <v>Un</v>
      </c>
      <c r="E16" s="418">
        <v>1</v>
      </c>
      <c r="F16" s="307">
        <f>+VLOOKUP(C16,ITEMS!A$4:D$101,3,0)</f>
        <v>461792</v>
      </c>
      <c r="G16" s="701">
        <f t="shared" si="0"/>
        <v>461792</v>
      </c>
      <c r="H16" s="371"/>
      <c r="I16" s="324"/>
      <c r="J16" s="324"/>
      <c r="K16" s="324"/>
    </row>
    <row r="17" spans="1:11" ht="16.5">
      <c r="A17" s="308">
        <v>10</v>
      </c>
      <c r="B17" s="316"/>
      <c r="C17" s="310" t="s">
        <v>666</v>
      </c>
      <c r="D17" s="252" t="str">
        <f>+VLOOKUP(C17,ITEMS!A$4:C$101,2,0)</f>
        <v>Un</v>
      </c>
      <c r="E17" s="418">
        <v>4</v>
      </c>
      <c r="F17" s="307">
        <f>+VLOOKUP(C17,ITEMS!A$4:D$101,3,0)</f>
        <v>130900</v>
      </c>
      <c r="G17" s="701">
        <f t="shared" si="0"/>
        <v>523600</v>
      </c>
      <c r="H17" s="371" t="s">
        <v>869</v>
      </c>
      <c r="I17" s="324"/>
      <c r="J17" s="324"/>
      <c r="K17" s="324"/>
    </row>
    <row r="18" spans="1:11" ht="16.5">
      <c r="A18" s="304">
        <v>11</v>
      </c>
      <c r="B18" s="316"/>
      <c r="C18" s="310" t="s">
        <v>668</v>
      </c>
      <c r="D18" s="252" t="str">
        <f>+VLOOKUP(C18,ITEMS!A$4:C$101,2,0)</f>
        <v>Un</v>
      </c>
      <c r="E18" s="418">
        <v>2</v>
      </c>
      <c r="F18" s="307">
        <f>+VLOOKUP(C18,ITEMS!A$4:D$101,3,0)</f>
        <v>284256</v>
      </c>
      <c r="G18" s="701">
        <f t="shared" si="0"/>
        <v>568512</v>
      </c>
      <c r="H18" s="371" t="s">
        <v>863</v>
      </c>
      <c r="I18" s="324"/>
      <c r="J18" s="324"/>
      <c r="K18" s="324"/>
    </row>
    <row r="19" spans="1:11" ht="16.5">
      <c r="A19" s="304">
        <v>12</v>
      </c>
      <c r="B19" s="316"/>
      <c r="C19" s="310" t="s">
        <v>657</v>
      </c>
      <c r="D19" s="314" t="str">
        <f>+VLOOKUP(C19,ITEMS!A$4:C$101,2,0)</f>
        <v>m</v>
      </c>
      <c r="E19" s="419">
        <v>86</v>
      </c>
      <c r="F19" s="315">
        <f>+VLOOKUP(C19,ITEMS!A$4:D$101,3,0)</f>
        <v>7935</v>
      </c>
      <c r="G19" s="702">
        <f>+E19*F19</f>
        <v>682410</v>
      </c>
      <c r="H19" s="371" t="s">
        <v>870</v>
      </c>
      <c r="I19" s="324"/>
      <c r="J19" s="324"/>
      <c r="K19" s="324"/>
    </row>
    <row r="20" spans="1:11" ht="16.5">
      <c r="A20" s="308">
        <v>13</v>
      </c>
      <c r="B20" s="316"/>
      <c r="C20" s="317" t="s">
        <v>659</v>
      </c>
      <c r="D20" s="320" t="str">
        <f>+VLOOKUP(C20,ITEMS!A$4:C$101,2,0)</f>
        <v>Un</v>
      </c>
      <c r="E20" s="420">
        <v>1</v>
      </c>
      <c r="F20" s="315">
        <f>+VLOOKUP(C20,ITEMS!A$4:D$101,3,0)</f>
        <v>1190000</v>
      </c>
      <c r="G20" s="702">
        <f>+E20*F20</f>
        <v>1190000</v>
      </c>
      <c r="H20" s="371" t="s">
        <v>871</v>
      </c>
      <c r="I20" s="324"/>
      <c r="J20" s="324"/>
      <c r="K20" s="324"/>
    </row>
    <row r="21" spans="1:11" ht="28.5">
      <c r="A21" s="304">
        <v>14</v>
      </c>
      <c r="B21" s="316" t="s">
        <v>943</v>
      </c>
      <c r="C21" s="317" t="s">
        <v>697</v>
      </c>
      <c r="D21" s="320" t="str">
        <f>+VLOOKUP(C21,ITEMS!A$4:C$101,2,0)</f>
        <v>Un</v>
      </c>
      <c r="E21" s="421">
        <v>2</v>
      </c>
      <c r="F21" s="315">
        <f>+VLOOKUP(C21,ITEMS!A$4:D$101,3,0)</f>
        <v>752387</v>
      </c>
      <c r="G21" s="702">
        <f>+E21*F21</f>
        <v>1504774</v>
      </c>
      <c r="H21" s="371" t="s">
        <v>863</v>
      </c>
      <c r="I21" s="324"/>
      <c r="J21" s="324"/>
      <c r="K21" s="324"/>
    </row>
    <row r="22" spans="1:11" ht="16.5">
      <c r="A22" s="304">
        <v>15</v>
      </c>
      <c r="B22" s="316" t="s">
        <v>944</v>
      </c>
      <c r="C22" s="317" t="s">
        <v>716</v>
      </c>
      <c r="D22" s="320" t="str">
        <f>+VLOOKUP(C22,ITEMS!A$4:C$101,2,0)</f>
        <v>Un</v>
      </c>
      <c r="E22" s="421">
        <v>1</v>
      </c>
      <c r="F22" s="315">
        <f>+VLOOKUP(C22,ITEMS!A$4:D$101,3,0)</f>
        <v>1107456</v>
      </c>
      <c r="G22" s="702">
        <f>+E22*F22</f>
        <v>1107456</v>
      </c>
      <c r="H22" s="371" t="s">
        <v>872</v>
      </c>
      <c r="I22" s="324"/>
      <c r="J22" s="324"/>
      <c r="K22" s="324"/>
    </row>
    <row r="23" spans="1:11" ht="16.5">
      <c r="A23" s="308">
        <v>16</v>
      </c>
      <c r="B23" s="369"/>
      <c r="C23" s="310" t="s">
        <v>663</v>
      </c>
      <c r="D23" s="320" t="str">
        <f>+VLOOKUP(C23,ITEMS!A$4:C$101,2,0)</f>
        <v>Un</v>
      </c>
      <c r="E23" s="420">
        <v>1</v>
      </c>
      <c r="F23" s="315">
        <f>+VLOOKUP(C23,ITEMS!A$4:D$101,3,0)</f>
        <v>721080</v>
      </c>
      <c r="G23" s="702">
        <f>+E23*F23</f>
        <v>721080</v>
      </c>
      <c r="H23" s="371" t="s">
        <v>873</v>
      </c>
      <c r="I23" s="324"/>
      <c r="J23" s="324"/>
      <c r="K23" s="324"/>
    </row>
    <row r="24" spans="1:11" ht="16.5">
      <c r="A24" s="322"/>
      <c r="B24" s="316"/>
      <c r="C24" s="317"/>
      <c r="D24" s="318"/>
      <c r="E24" s="326"/>
      <c r="F24" s="319"/>
      <c r="G24" s="630"/>
      <c r="H24" s="371"/>
    </row>
    <row r="25" spans="1:11" ht="16.5">
      <c r="A25" s="336"/>
      <c r="B25" s="348"/>
      <c r="C25" s="349" t="s">
        <v>719</v>
      </c>
      <c r="D25" s="350"/>
      <c r="E25" s="350"/>
      <c r="F25" s="348"/>
      <c r="G25" s="631">
        <f>SUM(G8:G24)</f>
        <v>76027191</v>
      </c>
      <c r="H25" s="371"/>
    </row>
    <row r="26" spans="1:11" ht="16.5">
      <c r="A26" s="351"/>
      <c r="B26" s="352"/>
      <c r="C26" s="353"/>
      <c r="D26" s="354"/>
      <c r="E26" s="354"/>
      <c r="F26" s="352"/>
      <c r="G26" s="355"/>
    </row>
    <row r="49" spans="1:8">
      <c r="B49" s="633"/>
    </row>
    <row r="50" spans="1:8">
      <c r="D50" s="633"/>
    </row>
    <row r="53" spans="1:8" ht="15">
      <c r="A53" s="696"/>
      <c r="B53" s="696"/>
      <c r="C53" s="697" t="s">
        <v>1184</v>
      </c>
      <c r="D53" s="696"/>
      <c r="E53" s="696"/>
      <c r="F53" s="696"/>
      <c r="G53" s="704"/>
      <c r="H53" s="477"/>
    </row>
    <row r="54" spans="1:8" ht="15">
      <c r="A54" s="696"/>
      <c r="B54" s="696"/>
      <c r="C54" s="697" t="s">
        <v>1186</v>
      </c>
      <c r="D54" s="696"/>
      <c r="E54" s="696"/>
      <c r="F54" s="696"/>
      <c r="G54" s="704"/>
      <c r="H54" s="477"/>
    </row>
    <row r="55" spans="1:8" ht="25.5">
      <c r="A55" s="698" t="s">
        <v>593</v>
      </c>
      <c r="B55" s="693"/>
      <c r="C55" s="698" t="s">
        <v>594</v>
      </c>
      <c r="D55" s="698" t="s">
        <v>630</v>
      </c>
      <c r="E55" s="698" t="s">
        <v>771</v>
      </c>
      <c r="F55" s="346" t="s">
        <v>655</v>
      </c>
      <c r="G55" s="626" t="s">
        <v>610</v>
      </c>
      <c r="H55" s="689" t="s">
        <v>1137</v>
      </c>
    </row>
    <row r="56" spans="1:8" ht="30">
      <c r="A56" s="682">
        <v>1</v>
      </c>
      <c r="B56" s="658"/>
      <c r="C56" s="690" t="s">
        <v>1182</v>
      </c>
      <c r="D56" s="691" t="s">
        <v>969</v>
      </c>
      <c r="E56" s="692">
        <v>194</v>
      </c>
      <c r="F56" s="694">
        <f>+'BT-AP-TEL'!$F$8</f>
        <v>20150</v>
      </c>
      <c r="G56" s="695">
        <f>+E56*F56</f>
        <v>3909100</v>
      </c>
      <c r="H56" s="689"/>
    </row>
    <row r="57" spans="1:8" ht="30">
      <c r="A57" s="682">
        <v>2</v>
      </c>
      <c r="B57" s="658"/>
      <c r="C57" s="690" t="s">
        <v>1180</v>
      </c>
      <c r="D57" s="691" t="s">
        <v>969</v>
      </c>
      <c r="E57" s="692">
        <v>134</v>
      </c>
      <c r="F57" s="694">
        <f>+'BT-AP-TEL'!$F$19</f>
        <v>97451</v>
      </c>
      <c r="G57" s="695">
        <f t="shared" ref="G57:G60" si="1">+E57*F57</f>
        <v>13058434</v>
      </c>
      <c r="H57" s="693"/>
    </row>
    <row r="58" spans="1:8" ht="30">
      <c r="A58" s="682">
        <v>3</v>
      </c>
      <c r="B58" s="658"/>
      <c r="C58" s="690" t="s">
        <v>1181</v>
      </c>
      <c r="D58" s="691" t="s">
        <v>969</v>
      </c>
      <c r="E58" s="692">
        <v>4</v>
      </c>
      <c r="F58" s="694">
        <f>+'BT-AP-TEL'!$F$27</f>
        <v>85167</v>
      </c>
      <c r="G58" s="695">
        <f t="shared" si="1"/>
        <v>340668</v>
      </c>
      <c r="H58" s="693"/>
    </row>
    <row r="59" spans="1:8" ht="30">
      <c r="A59" s="682">
        <v>4</v>
      </c>
      <c r="B59" s="658"/>
      <c r="C59" s="690" t="s">
        <v>1183</v>
      </c>
      <c r="D59" s="691" t="s">
        <v>8</v>
      </c>
      <c r="E59" s="692">
        <v>4</v>
      </c>
      <c r="F59" s="694">
        <f>+'BT-AP-TEL'!$F$34</f>
        <v>795107</v>
      </c>
      <c r="G59" s="695">
        <f t="shared" si="1"/>
        <v>3180428</v>
      </c>
      <c r="H59" s="693"/>
    </row>
    <row r="60" spans="1:8" ht="60">
      <c r="A60" s="682">
        <v>5</v>
      </c>
      <c r="B60" s="658"/>
      <c r="C60" s="690" t="s">
        <v>1179</v>
      </c>
      <c r="D60" s="691" t="s">
        <v>8</v>
      </c>
      <c r="E60" s="692">
        <v>194</v>
      </c>
      <c r="F60" s="694">
        <f>+'BT-AP-TEL'!$F$46</f>
        <v>26243</v>
      </c>
      <c r="G60" s="695">
        <f t="shared" si="1"/>
        <v>5091142</v>
      </c>
      <c r="H60" s="693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  <pageSetup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59"/>
  <sheetViews>
    <sheetView workbookViewId="0">
      <selection sqref="A1:G2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6" max="7" width="12.625" bestFit="1" customWidth="1"/>
    <col min="8" max="8" width="78.125" customWidth="1"/>
  </cols>
  <sheetData>
    <row r="1" spans="1:11">
      <c r="A1" s="875" t="s">
        <v>941</v>
      </c>
      <c r="B1" s="875"/>
      <c r="C1" s="875"/>
      <c r="D1" s="875"/>
      <c r="E1" s="875"/>
      <c r="F1" s="875"/>
      <c r="G1" s="875"/>
    </row>
    <row r="2" spans="1:11">
      <c r="A2" s="875"/>
      <c r="B2" s="875"/>
      <c r="C2" s="875"/>
      <c r="D2" s="875"/>
      <c r="E2" s="875"/>
      <c r="F2" s="875"/>
      <c r="G2" s="875"/>
    </row>
    <row r="3" spans="1:11">
      <c r="A3" s="876"/>
      <c r="B3" s="876"/>
      <c r="C3" s="876"/>
      <c r="D3" s="876"/>
      <c r="E3" s="876"/>
      <c r="F3" s="876"/>
      <c r="G3" s="876"/>
    </row>
    <row r="4" spans="1:11" ht="30" customHeight="1">
      <c r="A4" s="870" t="s">
        <v>667</v>
      </c>
      <c r="B4" s="870"/>
      <c r="C4" s="870"/>
      <c r="D4" s="870"/>
      <c r="E4" s="870"/>
      <c r="F4" s="870"/>
      <c r="G4" s="870"/>
      <c r="H4" s="371"/>
    </row>
    <row r="5" spans="1:11" ht="15.75" customHeight="1">
      <c r="A5" s="872"/>
      <c r="B5" s="873"/>
      <c r="C5" s="873"/>
      <c r="D5" s="873"/>
      <c r="E5" s="873"/>
      <c r="F5" s="873"/>
      <c r="G5" s="877"/>
      <c r="H5" s="371"/>
    </row>
    <row r="6" spans="1:11" ht="15.75" customHeight="1">
      <c r="A6" s="347"/>
      <c r="B6" s="358"/>
      <c r="C6" s="358" t="s">
        <v>718</v>
      </c>
      <c r="D6" s="358"/>
      <c r="E6" s="358"/>
      <c r="F6" s="358"/>
      <c r="G6" s="358"/>
      <c r="H6" s="477"/>
    </row>
    <row r="7" spans="1:11" ht="25.5">
      <c r="A7" s="345" t="s">
        <v>593</v>
      </c>
      <c r="B7" s="345" t="s">
        <v>611</v>
      </c>
      <c r="C7" s="345" t="s">
        <v>594</v>
      </c>
      <c r="D7" s="345" t="s">
        <v>630</v>
      </c>
      <c r="E7" s="345" t="s">
        <v>656</v>
      </c>
      <c r="F7" s="346" t="s">
        <v>655</v>
      </c>
      <c r="G7" s="346" t="s">
        <v>610</v>
      </c>
      <c r="H7" s="346" t="s">
        <v>1137</v>
      </c>
    </row>
    <row r="8" spans="1:11" ht="60">
      <c r="A8" s="308">
        <v>1</v>
      </c>
      <c r="B8" s="309" t="s">
        <v>608</v>
      </c>
      <c r="C8" s="440" t="s">
        <v>1090</v>
      </c>
      <c r="D8" s="311" t="str">
        <f>+VLOOKUP(C8,ITEMS!A$4:C$101,2,0)</f>
        <v>Un</v>
      </c>
      <c r="E8" s="312">
        <v>4</v>
      </c>
      <c r="F8" s="313">
        <f>+VLOOKUP(C8,ITEMS!A$4:D$101,3,0)</f>
        <v>3092862</v>
      </c>
      <c r="G8" s="627">
        <f>+E8*F8</f>
        <v>12371448</v>
      </c>
      <c r="H8" s="703" t="s">
        <v>875</v>
      </c>
    </row>
    <row r="9" spans="1:11" ht="28.5">
      <c r="A9" s="304">
        <v>2</v>
      </c>
      <c r="B9" s="276" t="s">
        <v>609</v>
      </c>
      <c r="C9" s="310" t="s">
        <v>612</v>
      </c>
      <c r="D9" s="252" t="str">
        <f>+VLOOKUP(C9,ITEMS!A$4:C$101,2,0)</f>
        <v>Un</v>
      </c>
      <c r="E9" s="312">
        <v>4</v>
      </c>
      <c r="F9" s="307">
        <f>+VLOOKUP(C9,ITEMS!A$4:D$101,3,0)</f>
        <v>524196</v>
      </c>
      <c r="G9" s="701">
        <f t="shared" ref="G9:G18" si="0">+E9*F9</f>
        <v>2096784</v>
      </c>
      <c r="H9" s="703" t="s">
        <v>875</v>
      </c>
    </row>
    <row r="10" spans="1:11" ht="28.5">
      <c r="A10" s="304">
        <v>3</v>
      </c>
      <c r="B10" s="276"/>
      <c r="C10" s="310" t="s">
        <v>628</v>
      </c>
      <c r="D10" s="252" t="str">
        <f>+VLOOKUP(C10,ITEMS!A$4:C$101,2,0)</f>
        <v>Un</v>
      </c>
      <c r="E10" s="312">
        <v>2</v>
      </c>
      <c r="F10" s="307">
        <f>+VLOOKUP(C10,ITEMS!A$4:D$101,3,0)</f>
        <v>968212</v>
      </c>
      <c r="G10" s="701">
        <f t="shared" si="0"/>
        <v>1936424</v>
      </c>
      <c r="H10" s="703" t="s">
        <v>876</v>
      </c>
      <c r="I10" s="324"/>
      <c r="J10" s="324"/>
    </row>
    <row r="11" spans="1:11" ht="16.5">
      <c r="A11" s="308">
        <v>4</v>
      </c>
      <c r="B11" s="276" t="s">
        <v>613</v>
      </c>
      <c r="C11" s="310" t="s">
        <v>805</v>
      </c>
      <c r="D11" s="252" t="str">
        <f>+VLOOKUP(C11,ITEMS!A$4:C$101,2,0)</f>
        <v>Un</v>
      </c>
      <c r="E11" s="418">
        <v>4</v>
      </c>
      <c r="F11" s="307">
        <f>+VLOOKUP(C11,ITEMS!A$4:D$101,3,0)</f>
        <v>2176709</v>
      </c>
      <c r="G11" s="701">
        <f t="shared" si="0"/>
        <v>8706836</v>
      </c>
      <c r="H11" s="703" t="s">
        <v>875</v>
      </c>
      <c r="I11" s="324"/>
      <c r="J11" s="324"/>
    </row>
    <row r="12" spans="1:11" ht="16.5">
      <c r="A12" s="304">
        <v>5</v>
      </c>
      <c r="B12" s="327" t="s">
        <v>685</v>
      </c>
      <c r="C12" s="310" t="s">
        <v>682</v>
      </c>
      <c r="D12" s="252" t="str">
        <f>+VLOOKUP(C12,ITEMS!A$4:C$101,2,0)</f>
        <v>m</v>
      </c>
      <c r="E12" s="418">
        <f>52+17</f>
        <v>69</v>
      </c>
      <c r="F12" s="307">
        <f>+VLOOKUP(C12,ITEMS!A$4:D$101,3,0)</f>
        <v>448214</v>
      </c>
      <c r="G12" s="701">
        <f t="shared" si="0"/>
        <v>30926766</v>
      </c>
      <c r="H12" s="703" t="s">
        <v>877</v>
      </c>
      <c r="I12" s="324"/>
      <c r="J12" s="324"/>
      <c r="K12" s="324"/>
    </row>
    <row r="13" spans="1:11" ht="28.5">
      <c r="A13" s="304">
        <v>6</v>
      </c>
      <c r="B13" s="327" t="s">
        <v>685</v>
      </c>
      <c r="C13" s="310" t="s">
        <v>684</v>
      </c>
      <c r="D13" s="252" t="str">
        <f>+VLOOKUP(C13,ITEMS!A$4:C$101,2,0)</f>
        <v>m</v>
      </c>
      <c r="E13" s="418">
        <v>15</v>
      </c>
      <c r="F13" s="307">
        <f>+VLOOKUP(C13,ITEMS!A$4:D$101,3,0)</f>
        <v>709513</v>
      </c>
      <c r="G13" s="701">
        <f t="shared" si="0"/>
        <v>10642695</v>
      </c>
      <c r="H13" s="703" t="s">
        <v>878</v>
      </c>
      <c r="I13" s="324"/>
      <c r="J13" s="324"/>
      <c r="K13" s="324"/>
    </row>
    <row r="14" spans="1:11" ht="30">
      <c r="A14" s="308">
        <v>7</v>
      </c>
      <c r="B14" s="327"/>
      <c r="C14" s="310" t="s">
        <v>833</v>
      </c>
      <c r="D14" s="252" t="str">
        <f>+VLOOKUP(C14,ITEMS!A$4:C$101,2,0)</f>
        <v>m</v>
      </c>
      <c r="E14" s="418">
        <f>62+24+6+40+24+6</f>
        <v>162</v>
      </c>
      <c r="F14" s="307">
        <f>+VLOOKUP(C14,ITEMS!A$4:D$101,3,0)</f>
        <v>101944</v>
      </c>
      <c r="G14" s="701">
        <f t="shared" si="0"/>
        <v>16514928</v>
      </c>
      <c r="H14" s="703" t="s">
        <v>879</v>
      </c>
      <c r="I14" s="324"/>
      <c r="J14" s="324"/>
      <c r="K14" s="324"/>
    </row>
    <row r="15" spans="1:11" ht="16.5">
      <c r="A15" s="304">
        <v>8</v>
      </c>
      <c r="B15" s="327" t="s">
        <v>660</v>
      </c>
      <c r="C15" s="310" t="s">
        <v>636</v>
      </c>
      <c r="D15" s="252" t="str">
        <f>+VLOOKUP(C15,ITEMS!A$4:C$101,2,0)</f>
        <v>Un</v>
      </c>
      <c r="E15" s="418">
        <v>2</v>
      </c>
      <c r="F15" s="307">
        <f>+VLOOKUP(C15,ITEMS!A$4:D$101,3,0)</f>
        <v>775107</v>
      </c>
      <c r="G15" s="701">
        <f t="shared" si="0"/>
        <v>1550214</v>
      </c>
      <c r="H15" s="703" t="s">
        <v>876</v>
      </c>
      <c r="I15" s="324"/>
      <c r="J15" s="324"/>
      <c r="K15" s="324"/>
    </row>
    <row r="16" spans="1:11" ht="16.5">
      <c r="A16" s="304">
        <v>9</v>
      </c>
      <c r="B16" s="306"/>
      <c r="C16" s="310" t="s">
        <v>629</v>
      </c>
      <c r="D16" s="252" t="str">
        <f>+VLOOKUP(C16,ITEMS!A$4:C$101,2,0)</f>
        <v>Un</v>
      </c>
      <c r="E16" s="434">
        <v>2</v>
      </c>
      <c r="F16" s="307">
        <f>+VLOOKUP(C16,ITEMS!A$4:D$101,3,0)</f>
        <v>461792</v>
      </c>
      <c r="G16" s="701">
        <f t="shared" si="0"/>
        <v>923584</v>
      </c>
      <c r="H16" s="703"/>
      <c r="I16" s="324"/>
      <c r="J16" s="324"/>
      <c r="K16" s="324"/>
    </row>
    <row r="17" spans="1:12" ht="16.5">
      <c r="A17" s="308">
        <v>10</v>
      </c>
      <c r="B17" s="316"/>
      <c r="C17" s="310" t="s">
        <v>666</v>
      </c>
      <c r="D17" s="252" t="str">
        <f>+VLOOKUP(C17,ITEMS!A$4:C$101,2,0)</f>
        <v>Un</v>
      </c>
      <c r="E17" s="418">
        <f>5+1</f>
        <v>6</v>
      </c>
      <c r="F17" s="307">
        <f>+VLOOKUP(C17,ITEMS!A$4:D$101,3,0)</f>
        <v>130900</v>
      </c>
      <c r="G17" s="701">
        <f t="shared" si="0"/>
        <v>785400</v>
      </c>
      <c r="H17" s="703" t="s">
        <v>880</v>
      </c>
      <c r="I17" s="324"/>
      <c r="J17" s="324"/>
      <c r="K17" s="324"/>
      <c r="L17" s="325"/>
    </row>
    <row r="18" spans="1:12" ht="16.5">
      <c r="A18" s="304">
        <v>11</v>
      </c>
      <c r="B18" s="316"/>
      <c r="C18" s="310" t="s">
        <v>668</v>
      </c>
      <c r="D18" s="252" t="str">
        <f>+VLOOKUP(C18,ITEMS!A$4:C$101,2,0)</f>
        <v>Un</v>
      </c>
      <c r="E18" s="418">
        <v>3</v>
      </c>
      <c r="F18" s="307">
        <f>+VLOOKUP(C18,ITEMS!A$4:D$101,3,0)</f>
        <v>284256</v>
      </c>
      <c r="G18" s="701">
        <f t="shared" si="0"/>
        <v>852768</v>
      </c>
      <c r="H18" s="703" t="s">
        <v>881</v>
      </c>
      <c r="I18" s="324"/>
      <c r="J18" s="324"/>
      <c r="K18" s="324"/>
    </row>
    <row r="19" spans="1:12" ht="16.5">
      <c r="A19" s="304">
        <v>12</v>
      </c>
      <c r="B19" s="316"/>
      <c r="C19" s="310" t="s">
        <v>657</v>
      </c>
      <c r="D19" s="314" t="str">
        <f>+VLOOKUP(C19,ITEMS!A$4:C$101,2,0)</f>
        <v>m</v>
      </c>
      <c r="E19" s="419">
        <f>75+22</f>
        <v>97</v>
      </c>
      <c r="F19" s="315">
        <f>+VLOOKUP(C19,ITEMS!A$4:D$101,3,0)</f>
        <v>7935</v>
      </c>
      <c r="G19" s="702">
        <f>+E19*F19</f>
        <v>769695</v>
      </c>
      <c r="H19" s="703" t="s">
        <v>882</v>
      </c>
      <c r="I19" s="324"/>
      <c r="J19" s="324"/>
      <c r="K19" s="324"/>
    </row>
    <row r="20" spans="1:12" ht="28.5">
      <c r="A20" s="308">
        <v>13</v>
      </c>
      <c r="B20" s="316" t="s">
        <v>943</v>
      </c>
      <c r="C20" s="310" t="s">
        <v>697</v>
      </c>
      <c r="D20" s="320" t="str">
        <f>+VLOOKUP(C20,ITEMS!A$4:C$101,2,0)</f>
        <v>Un</v>
      </c>
      <c r="E20" s="421">
        <f>2+1</f>
        <v>3</v>
      </c>
      <c r="F20" s="315">
        <f>+VLOOKUP(C20,ITEMS!A$4:D$101,3,0)</f>
        <v>752387</v>
      </c>
      <c r="G20" s="702">
        <f>+E20*F20</f>
        <v>2257161</v>
      </c>
      <c r="H20" s="703" t="s">
        <v>883</v>
      </c>
      <c r="I20" s="324"/>
      <c r="J20" s="324"/>
      <c r="K20" s="324"/>
    </row>
    <row r="21" spans="1:12" ht="16.5">
      <c r="A21" s="304">
        <v>14</v>
      </c>
      <c r="B21" s="316" t="s">
        <v>944</v>
      </c>
      <c r="C21" s="310" t="s">
        <v>716</v>
      </c>
      <c r="D21" s="320" t="str">
        <f>+VLOOKUP(C21,ITEMS!A$4:C$101,2,0)</f>
        <v>Un</v>
      </c>
      <c r="E21" s="421">
        <f>1+1</f>
        <v>2</v>
      </c>
      <c r="F21" s="315">
        <f>+VLOOKUP(C21,ITEMS!A$4:D$101,3,0)</f>
        <v>1107456</v>
      </c>
      <c r="G21" s="702">
        <f>+E21*F21</f>
        <v>2214912</v>
      </c>
      <c r="H21" s="703" t="s">
        <v>885</v>
      </c>
      <c r="I21" s="324"/>
      <c r="J21" s="324"/>
      <c r="K21" s="324"/>
    </row>
    <row r="22" spans="1:12" ht="16.5">
      <c r="A22" s="304">
        <v>15</v>
      </c>
      <c r="B22" s="369"/>
      <c r="C22" s="310" t="s">
        <v>663</v>
      </c>
      <c r="D22" s="320" t="str">
        <f>+VLOOKUP(C22,ITEMS!A$4:C$101,2,0)</f>
        <v>Un</v>
      </c>
      <c r="E22" s="420">
        <v>1</v>
      </c>
      <c r="F22" s="315">
        <f>+VLOOKUP(C22,ITEMS!A$4:D$101,3,0)</f>
        <v>721080</v>
      </c>
      <c r="G22" s="702">
        <f>+E22*F22</f>
        <v>721080</v>
      </c>
      <c r="H22" s="703" t="s">
        <v>884</v>
      </c>
      <c r="I22" s="324"/>
      <c r="J22" s="324"/>
      <c r="K22" s="324"/>
    </row>
    <row r="23" spans="1:12" ht="16.5">
      <c r="A23" s="322"/>
      <c r="B23" s="316"/>
      <c r="C23" s="317"/>
      <c r="D23" s="318"/>
      <c r="E23" s="326"/>
      <c r="F23" s="319"/>
      <c r="G23" s="630"/>
      <c r="H23" s="371"/>
    </row>
    <row r="24" spans="1:12" ht="16.5">
      <c r="A24" s="336"/>
      <c r="B24" s="348"/>
      <c r="C24" s="349" t="s">
        <v>719</v>
      </c>
      <c r="D24" s="350"/>
      <c r="E24" s="350"/>
      <c r="F24" s="348"/>
      <c r="G24" s="631">
        <f>SUM(G8:G23)</f>
        <v>93270695</v>
      </c>
      <c r="H24" s="371"/>
    </row>
    <row r="25" spans="1:12" ht="16.5">
      <c r="A25" s="351"/>
      <c r="B25" s="352"/>
      <c r="C25" s="353"/>
      <c r="D25" s="354"/>
      <c r="E25" s="354"/>
      <c r="F25" s="352"/>
      <c r="G25" s="355"/>
    </row>
    <row r="49" spans="1:8">
      <c r="D49" s="633"/>
    </row>
    <row r="52" spans="1:8" ht="15">
      <c r="A52" s="696"/>
      <c r="B52" s="696"/>
      <c r="C52" s="697" t="s">
        <v>1184</v>
      </c>
      <c r="D52" s="696"/>
      <c r="E52" s="696"/>
      <c r="F52" s="696"/>
      <c r="G52" s="704"/>
      <c r="H52" s="477"/>
    </row>
    <row r="53" spans="1:8" ht="15">
      <c r="A53" s="696"/>
      <c r="B53" s="696"/>
      <c r="C53" s="697" t="s">
        <v>1187</v>
      </c>
      <c r="D53" s="696"/>
      <c r="E53" s="696"/>
      <c r="F53" s="696"/>
      <c r="G53" s="704"/>
      <c r="H53" s="477"/>
    </row>
    <row r="54" spans="1:8" ht="25.5">
      <c r="A54" s="698" t="s">
        <v>593</v>
      </c>
      <c r="B54" s="693"/>
      <c r="C54" s="698" t="s">
        <v>594</v>
      </c>
      <c r="D54" s="698" t="s">
        <v>630</v>
      </c>
      <c r="E54" s="698" t="s">
        <v>771</v>
      </c>
      <c r="F54" s="346" t="s">
        <v>655</v>
      </c>
      <c r="G54" s="626" t="s">
        <v>610</v>
      </c>
      <c r="H54" s="689" t="s">
        <v>1137</v>
      </c>
    </row>
    <row r="55" spans="1:8" ht="30">
      <c r="A55" s="682">
        <v>1</v>
      </c>
      <c r="B55" s="658"/>
      <c r="C55" s="690" t="s">
        <v>1182</v>
      </c>
      <c r="D55" s="691" t="s">
        <v>969</v>
      </c>
      <c r="E55" s="692">
        <v>179</v>
      </c>
      <c r="F55" s="694">
        <f>+'BT-AP-TEL'!$F$8</f>
        <v>20150</v>
      </c>
      <c r="G55" s="695">
        <f>+E55*F55</f>
        <v>3606850</v>
      </c>
      <c r="H55" s="689"/>
    </row>
    <row r="56" spans="1:8" ht="30">
      <c r="A56" s="682">
        <v>2</v>
      </c>
      <c r="B56" s="658"/>
      <c r="C56" s="690" t="s">
        <v>1180</v>
      </c>
      <c r="D56" s="691" t="s">
        <v>969</v>
      </c>
      <c r="E56" s="692">
        <v>122</v>
      </c>
      <c r="F56" s="694">
        <f>+'BT-AP-TEL'!$F$19</f>
        <v>97451</v>
      </c>
      <c r="G56" s="695">
        <f t="shared" ref="G56:G59" si="1">+E56*F56</f>
        <v>11889022</v>
      </c>
      <c r="H56" s="693"/>
    </row>
    <row r="57" spans="1:8" ht="30">
      <c r="A57" s="682">
        <v>3</v>
      </c>
      <c r="B57" s="658"/>
      <c r="C57" s="690" t="s">
        <v>1181</v>
      </c>
      <c r="D57" s="691" t="s">
        <v>969</v>
      </c>
      <c r="E57" s="692">
        <v>5</v>
      </c>
      <c r="F57" s="694">
        <f>+'BT-AP-TEL'!$F$27</f>
        <v>85167</v>
      </c>
      <c r="G57" s="695">
        <f t="shared" si="1"/>
        <v>425835</v>
      </c>
      <c r="H57" s="693"/>
    </row>
    <row r="58" spans="1:8" ht="30">
      <c r="A58" s="682">
        <v>4</v>
      </c>
      <c r="B58" s="658"/>
      <c r="C58" s="690" t="s">
        <v>1183</v>
      </c>
      <c r="D58" s="691" t="s">
        <v>8</v>
      </c>
      <c r="E58" s="692">
        <v>5</v>
      </c>
      <c r="F58" s="694">
        <f>+'BT-AP-TEL'!$F$34</f>
        <v>795107</v>
      </c>
      <c r="G58" s="695">
        <f t="shared" si="1"/>
        <v>3975535</v>
      </c>
      <c r="H58" s="693"/>
    </row>
    <row r="59" spans="1:8" ht="60">
      <c r="A59" s="682">
        <v>5</v>
      </c>
      <c r="B59" s="658"/>
      <c r="C59" s="690" t="s">
        <v>1179</v>
      </c>
      <c r="D59" s="691" t="s">
        <v>8</v>
      </c>
      <c r="E59" s="692">
        <v>179</v>
      </c>
      <c r="F59" s="694">
        <f>+'BT-AP-TEL'!$F$46</f>
        <v>26243</v>
      </c>
      <c r="G59" s="695">
        <f t="shared" si="1"/>
        <v>4697497</v>
      </c>
      <c r="H59" s="693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8"/>
  <sheetViews>
    <sheetView workbookViewId="0">
      <selection activeCell="G31" sqref="G31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7" max="7" width="11.75" bestFit="1" customWidth="1"/>
  </cols>
  <sheetData>
    <row r="1" spans="1:11">
      <c r="A1" s="875" t="s">
        <v>907</v>
      </c>
      <c r="B1" s="875"/>
      <c r="C1" s="875"/>
      <c r="D1" s="875"/>
      <c r="E1" s="875"/>
      <c r="F1" s="875"/>
      <c r="G1" s="875"/>
    </row>
    <row r="2" spans="1:11">
      <c r="A2" s="875"/>
      <c r="B2" s="875"/>
      <c r="C2" s="875"/>
      <c r="D2" s="875"/>
      <c r="E2" s="875"/>
      <c r="F2" s="875"/>
      <c r="G2" s="875"/>
    </row>
    <row r="3" spans="1:11">
      <c r="A3" s="876"/>
      <c r="B3" s="876"/>
      <c r="C3" s="876"/>
      <c r="D3" s="876"/>
      <c r="E3" s="876"/>
      <c r="F3" s="876"/>
      <c r="G3" s="876"/>
    </row>
    <row r="4" spans="1:11" ht="30" customHeight="1">
      <c r="A4" s="870" t="s">
        <v>667</v>
      </c>
      <c r="B4" s="870"/>
      <c r="C4" s="870"/>
      <c r="D4" s="870"/>
      <c r="E4" s="870"/>
      <c r="F4" s="870"/>
      <c r="G4" s="870"/>
    </row>
    <row r="5" spans="1:11" ht="15.75" customHeight="1">
      <c r="A5" s="872"/>
      <c r="B5" s="873"/>
      <c r="C5" s="873"/>
      <c r="D5" s="873"/>
      <c r="E5" s="873"/>
      <c r="F5" s="873"/>
      <c r="G5" s="877"/>
    </row>
    <row r="6" spans="1:11" ht="15.75" customHeight="1">
      <c r="A6" s="347"/>
      <c r="B6" s="358"/>
      <c r="C6" s="358" t="s">
        <v>718</v>
      </c>
      <c r="D6" s="358"/>
      <c r="E6" s="358"/>
      <c r="F6" s="358"/>
      <c r="G6" s="358"/>
    </row>
    <row r="7" spans="1:11" ht="25.5">
      <c r="A7" s="345" t="s">
        <v>593</v>
      </c>
      <c r="B7" s="345" t="s">
        <v>611</v>
      </c>
      <c r="C7" s="345" t="s">
        <v>594</v>
      </c>
      <c r="D7" s="345" t="s">
        <v>630</v>
      </c>
      <c r="E7" s="345" t="s">
        <v>656</v>
      </c>
      <c r="F7" s="346" t="s">
        <v>655</v>
      </c>
      <c r="G7" s="346" t="s">
        <v>610</v>
      </c>
    </row>
    <row r="8" spans="1:11" ht="60">
      <c r="A8" s="308">
        <v>1</v>
      </c>
      <c r="B8" s="309" t="s">
        <v>608</v>
      </c>
      <c r="C8" s="440" t="s">
        <v>1090</v>
      </c>
      <c r="D8" s="311" t="str">
        <f>+VLOOKUP(C8,ITEMS!A$4:C$101,2,0)</f>
        <v>Un</v>
      </c>
      <c r="E8" s="312">
        <f>4+2</f>
        <v>6</v>
      </c>
      <c r="F8" s="313">
        <f>+VLOOKUP(C8,ITEMS!A$4:D$101,3,0)</f>
        <v>3092862</v>
      </c>
      <c r="G8" s="313">
        <f>+E8*F8</f>
        <v>18557172</v>
      </c>
      <c r="H8" t="s">
        <v>918</v>
      </c>
    </row>
    <row r="9" spans="1:11" ht="28.5">
      <c r="A9" s="304">
        <v>2</v>
      </c>
      <c r="B9" s="276" t="s">
        <v>609</v>
      </c>
      <c r="C9" s="310" t="s">
        <v>612</v>
      </c>
      <c r="D9" s="252" t="str">
        <f>+VLOOKUP(C9,ITEMS!A$4:C$101,2,0)</f>
        <v>Un</v>
      </c>
      <c r="E9" s="312">
        <v>6</v>
      </c>
      <c r="F9" s="307">
        <f>+VLOOKUP(C9,ITEMS!A$4:D$101,3,0)</f>
        <v>524196</v>
      </c>
      <c r="G9" s="307">
        <f t="shared" ref="G9:G18" si="0">+E9*F9</f>
        <v>3145176</v>
      </c>
      <c r="H9" t="s">
        <v>918</v>
      </c>
    </row>
    <row r="10" spans="1:11" ht="28.5">
      <c r="A10" s="304">
        <v>3</v>
      </c>
      <c r="B10" s="276"/>
      <c r="C10" s="310" t="s">
        <v>628</v>
      </c>
      <c r="D10" s="252" t="str">
        <f>+VLOOKUP(C10,ITEMS!A$4:C$101,2,0)</f>
        <v>Un</v>
      </c>
      <c r="E10" s="312">
        <v>3</v>
      </c>
      <c r="F10" s="307">
        <f>+VLOOKUP(C10,ITEMS!A$4:D$101,3,0)</f>
        <v>968212</v>
      </c>
      <c r="G10" s="307">
        <f t="shared" si="0"/>
        <v>2904636</v>
      </c>
      <c r="H10" t="s">
        <v>919</v>
      </c>
      <c r="I10" s="324"/>
      <c r="J10" s="324"/>
    </row>
    <row r="11" spans="1:11" ht="16.5">
      <c r="A11" s="308">
        <v>4</v>
      </c>
      <c r="B11" s="276" t="s">
        <v>613</v>
      </c>
      <c r="C11" s="310" t="s">
        <v>805</v>
      </c>
      <c r="D11" s="252" t="str">
        <f>+VLOOKUP(C11,ITEMS!A$4:C$101,2,0)</f>
        <v>Un</v>
      </c>
      <c r="E11" s="312">
        <f>4+1+3</f>
        <v>8</v>
      </c>
      <c r="F11" s="307">
        <f>+VLOOKUP(C11,ITEMS!A$4:D$101,3,0)</f>
        <v>2176709</v>
      </c>
      <c r="G11" s="307">
        <f t="shared" si="0"/>
        <v>17413672</v>
      </c>
      <c r="H11" t="s">
        <v>920</v>
      </c>
      <c r="I11" s="324"/>
      <c r="J11" s="324"/>
    </row>
    <row r="12" spans="1:11" ht="16.5">
      <c r="A12" s="304">
        <v>5</v>
      </c>
      <c r="B12" s="327" t="s">
        <v>685</v>
      </c>
      <c r="C12" s="438" t="s">
        <v>682</v>
      </c>
      <c r="D12" s="252" t="str">
        <f>+VLOOKUP(C12,ITEMS!A$4:C$101,2,0)</f>
        <v>m</v>
      </c>
      <c r="E12" s="312">
        <f>30+31+51+58+41+45-20</f>
        <v>236</v>
      </c>
      <c r="F12" s="307">
        <f>+VLOOKUP(C12,ITEMS!A$4:D$101,3,0)</f>
        <v>448214</v>
      </c>
      <c r="G12" s="307">
        <f t="shared" si="0"/>
        <v>105778504</v>
      </c>
      <c r="H12" t="s">
        <v>927</v>
      </c>
      <c r="I12" s="324"/>
      <c r="J12" s="324"/>
      <c r="K12" s="324"/>
    </row>
    <row r="13" spans="1:11" ht="28.5">
      <c r="A13" s="304">
        <v>6</v>
      </c>
      <c r="B13" s="327" t="s">
        <v>685</v>
      </c>
      <c r="C13" s="438" t="s">
        <v>684</v>
      </c>
      <c r="D13" s="252" t="str">
        <f>+VLOOKUP(C13,ITEMS!A$4:C$101,2,0)</f>
        <v>m</v>
      </c>
      <c r="E13" s="312">
        <v>20</v>
      </c>
      <c r="F13" s="307">
        <f>+VLOOKUP(C13,ITEMS!A$4:D$101,3,0)</f>
        <v>709513</v>
      </c>
      <c r="G13" s="307">
        <f t="shared" si="0"/>
        <v>14190260</v>
      </c>
      <c r="H13" t="s">
        <v>925</v>
      </c>
      <c r="I13" s="324"/>
      <c r="J13" s="324"/>
      <c r="K13" s="324"/>
    </row>
    <row r="14" spans="1:11" ht="28.5">
      <c r="A14" s="308">
        <v>7</v>
      </c>
      <c r="B14" s="327"/>
      <c r="C14" s="310" t="s">
        <v>833</v>
      </c>
      <c r="D14" s="252" t="str">
        <f>+VLOOKUP(C14,ITEMS!A$4:C$101,2,0)</f>
        <v>m</v>
      </c>
      <c r="E14" s="312">
        <f>30+31+51+58+41+45+72+16</f>
        <v>344</v>
      </c>
      <c r="F14" s="307">
        <f>+VLOOKUP(C14,ITEMS!A$4:D$101,3,0)</f>
        <v>101944</v>
      </c>
      <c r="G14" s="307">
        <f t="shared" si="0"/>
        <v>35068736</v>
      </c>
      <c r="H14" t="s">
        <v>928</v>
      </c>
      <c r="I14" s="324"/>
      <c r="J14" s="324"/>
      <c r="K14" s="324"/>
    </row>
    <row r="15" spans="1:11" ht="16.5">
      <c r="A15" s="304">
        <v>8</v>
      </c>
      <c r="B15" s="327" t="s">
        <v>660</v>
      </c>
      <c r="C15" s="310" t="s">
        <v>636</v>
      </c>
      <c r="D15" s="252" t="str">
        <f>+VLOOKUP(C15,ITEMS!A$4:C$101,2,0)</f>
        <v>Un</v>
      </c>
      <c r="E15" s="418">
        <v>3</v>
      </c>
      <c r="F15" s="307">
        <f>+VLOOKUP(C15,ITEMS!A$4:D$101,3,0)</f>
        <v>775107</v>
      </c>
      <c r="G15" s="307">
        <f t="shared" si="0"/>
        <v>2325321</v>
      </c>
      <c r="H15" t="s">
        <v>921</v>
      </c>
      <c r="I15" s="324"/>
      <c r="J15" s="324"/>
      <c r="K15" s="324"/>
    </row>
    <row r="16" spans="1:11" ht="16.5">
      <c r="A16" s="304">
        <v>9</v>
      </c>
      <c r="B16" s="306"/>
      <c r="C16" s="310" t="s">
        <v>629</v>
      </c>
      <c r="D16" s="252" t="str">
        <f>+VLOOKUP(C16,ITEMS!A$4:C$101,2,0)</f>
        <v>Un</v>
      </c>
      <c r="E16" s="418">
        <v>3</v>
      </c>
      <c r="F16" s="307">
        <f>+VLOOKUP(C16,ITEMS!A$4:D$101,3,0)</f>
        <v>461792</v>
      </c>
      <c r="G16" s="307">
        <f t="shared" si="0"/>
        <v>1385376</v>
      </c>
      <c r="H16" t="s">
        <v>922</v>
      </c>
      <c r="I16" s="324"/>
      <c r="J16" s="324"/>
      <c r="K16" s="324"/>
    </row>
    <row r="17" spans="1:12" ht="16.5">
      <c r="A17" s="308">
        <v>10</v>
      </c>
      <c r="B17" s="316"/>
      <c r="C17" s="310" t="s">
        <v>666</v>
      </c>
      <c r="D17" s="252" t="str">
        <f>+VLOOKUP(C17,ITEMS!A$4:C$101,2,0)</f>
        <v>Un</v>
      </c>
      <c r="E17" s="418">
        <v>12</v>
      </c>
      <c r="F17" s="307">
        <f>+VLOOKUP(C17,ITEMS!A$4:D$101,3,0)</f>
        <v>130900</v>
      </c>
      <c r="G17" s="307">
        <f t="shared" si="0"/>
        <v>1570800</v>
      </c>
      <c r="H17" t="s">
        <v>929</v>
      </c>
      <c r="I17" s="324"/>
      <c r="J17" s="324"/>
      <c r="K17" s="324"/>
      <c r="L17" s="324"/>
    </row>
    <row r="18" spans="1:12" ht="16.5">
      <c r="A18" s="304">
        <v>11</v>
      </c>
      <c r="B18" s="316"/>
      <c r="C18" s="310" t="s">
        <v>668</v>
      </c>
      <c r="D18" s="252" t="str">
        <f>+VLOOKUP(C18,ITEMS!A$4:C$101,2,0)</f>
        <v>Un</v>
      </c>
      <c r="E18" s="418">
        <v>3</v>
      </c>
      <c r="F18" s="307">
        <f>+VLOOKUP(C18,ITEMS!A$4:D$101,3,0)</f>
        <v>284256</v>
      </c>
      <c r="G18" s="307">
        <f t="shared" si="0"/>
        <v>852768</v>
      </c>
      <c r="H18" t="s">
        <v>923</v>
      </c>
      <c r="I18" s="324"/>
      <c r="J18" s="324"/>
      <c r="K18" s="324"/>
    </row>
    <row r="19" spans="1:12" ht="16.5">
      <c r="A19" s="304">
        <v>12</v>
      </c>
      <c r="B19" s="316"/>
      <c r="C19" s="310" t="s">
        <v>657</v>
      </c>
      <c r="D19" s="314" t="str">
        <f>+VLOOKUP(C19,ITEMS!A$4:C$101,2,0)</f>
        <v>m</v>
      </c>
      <c r="E19" s="419">
        <f>34+27+24+27+25+32+26+32+7+23</f>
        <v>257</v>
      </c>
      <c r="F19" s="315">
        <f>+VLOOKUP(C19,ITEMS!A$4:D$101,3,0)</f>
        <v>7935</v>
      </c>
      <c r="G19" s="315">
        <f t="shared" ref="G19:G25" si="1">+E19*F19</f>
        <v>2039295</v>
      </c>
      <c r="H19" t="s">
        <v>930</v>
      </c>
      <c r="I19" s="324"/>
      <c r="J19" s="324"/>
      <c r="K19" s="324"/>
    </row>
    <row r="20" spans="1:12" ht="30">
      <c r="A20" s="308">
        <v>13</v>
      </c>
      <c r="B20" s="316"/>
      <c r="C20" s="427" t="s">
        <v>661</v>
      </c>
      <c r="D20" s="320" t="str">
        <f>+VLOOKUP(C20,ITEMS!A$4:C$101,2,0)</f>
        <v>Un</v>
      </c>
      <c r="E20" s="420">
        <v>1</v>
      </c>
      <c r="F20" s="315">
        <f>+VLOOKUP(C20,ITEMS!A$4:D$101,3,0)</f>
        <v>1368500</v>
      </c>
      <c r="G20" s="315">
        <f t="shared" si="1"/>
        <v>1368500</v>
      </c>
      <c r="H20" t="s">
        <v>926</v>
      </c>
      <c r="I20" s="324"/>
      <c r="J20" s="324"/>
      <c r="K20" s="324"/>
    </row>
    <row r="21" spans="1:12" ht="28.5">
      <c r="A21" s="304">
        <v>14</v>
      </c>
      <c r="B21" s="316" t="s">
        <v>943</v>
      </c>
      <c r="C21" s="317" t="s">
        <v>697</v>
      </c>
      <c r="D21" s="320" t="str">
        <f>+VLOOKUP(C21,ITEMS!A$4:C$101,2,0)</f>
        <v>Un</v>
      </c>
      <c r="E21" s="421">
        <v>4</v>
      </c>
      <c r="F21" s="315">
        <f>+VLOOKUP(C21,ITEMS!A$4:D$101,3,0)</f>
        <v>752387</v>
      </c>
      <c r="G21" s="315">
        <f t="shared" si="1"/>
        <v>3009548</v>
      </c>
      <c r="H21" t="s">
        <v>931</v>
      </c>
      <c r="I21" s="324"/>
      <c r="J21" s="324"/>
      <c r="K21" s="324"/>
    </row>
    <row r="22" spans="1:12" ht="28.5">
      <c r="A22" s="304">
        <v>15</v>
      </c>
      <c r="B22" s="316" t="s">
        <v>944</v>
      </c>
      <c r="C22" s="317" t="s">
        <v>717</v>
      </c>
      <c r="D22" s="320" t="str">
        <f>+VLOOKUP(C22,ITEMS!A$4:C$101,2,0)</f>
        <v>Un</v>
      </c>
      <c r="E22" s="421">
        <v>1</v>
      </c>
      <c r="F22" s="315">
        <f>+VLOOKUP(C22,ITEMS!A$4:D$101,3,0)</f>
        <v>339483</v>
      </c>
      <c r="G22" s="315">
        <f t="shared" si="1"/>
        <v>339483</v>
      </c>
      <c r="H22" t="s">
        <v>932</v>
      </c>
      <c r="I22" s="324"/>
      <c r="J22" s="324"/>
      <c r="K22" s="324"/>
    </row>
    <row r="23" spans="1:12" ht="16.5">
      <c r="A23" s="308">
        <v>16</v>
      </c>
      <c r="B23" s="316" t="s">
        <v>944</v>
      </c>
      <c r="C23" s="317" t="s">
        <v>716</v>
      </c>
      <c r="D23" s="320" t="str">
        <f>+VLOOKUP(C23,ITEMS!A$4:C$101,2,0)</f>
        <v>Un</v>
      </c>
      <c r="E23" s="421">
        <f>1+1</f>
        <v>2</v>
      </c>
      <c r="F23" s="315">
        <f>+VLOOKUP(C23,ITEMS!A$4:D$101,3,0)</f>
        <v>1107456</v>
      </c>
      <c r="G23" s="315">
        <f t="shared" si="1"/>
        <v>2214912</v>
      </c>
      <c r="H23" t="s">
        <v>933</v>
      </c>
      <c r="I23" s="324"/>
      <c r="J23" s="324"/>
      <c r="K23" s="324"/>
    </row>
    <row r="24" spans="1:12" ht="16.5">
      <c r="A24" s="304">
        <v>17</v>
      </c>
      <c r="B24" s="436" t="s">
        <v>945</v>
      </c>
      <c r="C24" s="317" t="s">
        <v>942</v>
      </c>
      <c r="D24" s="320" t="str">
        <f>+VLOOKUP(C24,ITEMS!A$4:C$101,2,0)</f>
        <v>Un</v>
      </c>
      <c r="E24" s="421">
        <v>1</v>
      </c>
      <c r="F24" s="315">
        <f>+VLOOKUP(C24,ITEMS!A$4:D$101,3,0)</f>
        <v>256564</v>
      </c>
      <c r="G24" s="315">
        <f t="shared" si="1"/>
        <v>256564</v>
      </c>
      <c r="H24" t="s">
        <v>932</v>
      </c>
      <c r="I24" s="324"/>
      <c r="J24" s="324"/>
      <c r="K24" s="324"/>
    </row>
    <row r="25" spans="1:12" ht="16.5">
      <c r="A25" s="304">
        <v>18</v>
      </c>
      <c r="B25" s="369"/>
      <c r="C25" s="310" t="s">
        <v>663</v>
      </c>
      <c r="D25" s="320" t="str">
        <f>+VLOOKUP(C25,ITEMS!A$4:C$101,2,0)</f>
        <v>Un</v>
      </c>
      <c r="E25" s="420">
        <v>2</v>
      </c>
      <c r="F25" s="315">
        <f>+VLOOKUP(C25,ITEMS!A$4:D$101,3,0)</f>
        <v>721080</v>
      </c>
      <c r="G25" s="315">
        <f t="shared" si="1"/>
        <v>1442160</v>
      </c>
      <c r="H25" t="s">
        <v>924</v>
      </c>
      <c r="I25" s="324"/>
      <c r="J25" s="324"/>
      <c r="K25" s="324"/>
    </row>
    <row r="26" spans="1:12" ht="16.5">
      <c r="A26" s="322"/>
      <c r="B26" s="316"/>
      <c r="C26" s="317"/>
      <c r="D26" s="318"/>
      <c r="E26" s="326"/>
      <c r="F26" s="319"/>
      <c r="G26" s="319"/>
    </row>
    <row r="27" spans="1:12" ht="16.5">
      <c r="A27" s="336"/>
      <c r="B27" s="348"/>
      <c r="C27" s="349" t="s">
        <v>719</v>
      </c>
      <c r="D27" s="350"/>
      <c r="E27" s="350"/>
      <c r="F27" s="348"/>
      <c r="G27" s="360">
        <f>SUM(G8:G26)</f>
        <v>213862883</v>
      </c>
    </row>
    <row r="28" spans="1:12" ht="16.5">
      <c r="A28" s="351"/>
      <c r="B28" s="352"/>
      <c r="C28" s="353"/>
      <c r="D28" s="354"/>
      <c r="E28" s="354"/>
      <c r="F28" s="352"/>
      <c r="G28" s="355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57"/>
  <sheetViews>
    <sheetView workbookViewId="0">
      <selection activeCell="A20" sqref="A20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6" max="6" width="12.625" bestFit="1" customWidth="1"/>
    <col min="7" max="7" width="11.75" bestFit="1" customWidth="1"/>
    <col min="8" max="8" width="79.5" customWidth="1"/>
  </cols>
  <sheetData>
    <row r="1" spans="1:11">
      <c r="A1" s="875" t="s">
        <v>908</v>
      </c>
      <c r="B1" s="875"/>
      <c r="C1" s="875"/>
      <c r="D1" s="875"/>
      <c r="E1" s="875"/>
      <c r="F1" s="875"/>
      <c r="G1" s="875"/>
    </row>
    <row r="2" spans="1:11">
      <c r="A2" s="875"/>
      <c r="B2" s="875"/>
      <c r="C2" s="875"/>
      <c r="D2" s="875"/>
      <c r="E2" s="875"/>
      <c r="F2" s="875"/>
      <c r="G2" s="875"/>
    </row>
    <row r="3" spans="1:11">
      <c r="A3" s="876"/>
      <c r="B3" s="876"/>
      <c r="C3" s="876"/>
      <c r="D3" s="876"/>
      <c r="E3" s="876"/>
      <c r="F3" s="876"/>
      <c r="G3" s="876"/>
    </row>
    <row r="4" spans="1:11" ht="30" customHeight="1">
      <c r="A4" s="870" t="s">
        <v>667</v>
      </c>
      <c r="B4" s="870"/>
      <c r="C4" s="870"/>
      <c r="D4" s="870"/>
      <c r="E4" s="870"/>
      <c r="F4" s="870"/>
      <c r="G4" s="871"/>
      <c r="H4" s="703"/>
    </row>
    <row r="5" spans="1:11" ht="15.75" customHeight="1">
      <c r="A5" s="872"/>
      <c r="B5" s="873"/>
      <c r="C5" s="873"/>
      <c r="D5" s="873"/>
      <c r="E5" s="873"/>
      <c r="F5" s="873"/>
      <c r="G5" s="879"/>
      <c r="H5" s="703"/>
    </row>
    <row r="6" spans="1:11" ht="15.75" customHeight="1">
      <c r="A6" s="347"/>
      <c r="B6" s="358"/>
      <c r="C6" s="358" t="s">
        <v>718</v>
      </c>
      <c r="D6" s="358"/>
      <c r="E6" s="358"/>
      <c r="F6" s="358"/>
      <c r="G6" s="699"/>
      <c r="H6" s="705"/>
    </row>
    <row r="7" spans="1:11" ht="25.5">
      <c r="A7" s="345" t="s">
        <v>593</v>
      </c>
      <c r="B7" s="345" t="s">
        <v>611</v>
      </c>
      <c r="C7" s="345" t="s">
        <v>594</v>
      </c>
      <c r="D7" s="345" t="s">
        <v>630</v>
      </c>
      <c r="E7" s="345" t="s">
        <v>656</v>
      </c>
      <c r="F7" s="346" t="s">
        <v>655</v>
      </c>
      <c r="G7" s="700" t="s">
        <v>610</v>
      </c>
      <c r="H7" s="346" t="s">
        <v>1137</v>
      </c>
    </row>
    <row r="8" spans="1:11" ht="60">
      <c r="A8" s="308">
        <v>1</v>
      </c>
      <c r="B8" s="309" t="s">
        <v>608</v>
      </c>
      <c r="C8" s="440" t="s">
        <v>1090</v>
      </c>
      <c r="D8" s="311" t="str">
        <f>+VLOOKUP(C8,ITEMS!A$4:C$101,2,0)</f>
        <v>Un</v>
      </c>
      <c r="E8" s="312">
        <v>4</v>
      </c>
      <c r="F8" s="313">
        <f>+VLOOKUP(C8,ITEMS!A$4:D$101,3,0)</f>
        <v>3092862</v>
      </c>
      <c r="G8" s="627">
        <f>+E8*F8</f>
        <v>12371448</v>
      </c>
      <c r="H8" s="703" t="s">
        <v>934</v>
      </c>
    </row>
    <row r="9" spans="1:11" ht="28.5">
      <c r="A9" s="304">
        <v>2</v>
      </c>
      <c r="B9" s="276" t="s">
        <v>609</v>
      </c>
      <c r="C9" s="310" t="s">
        <v>612</v>
      </c>
      <c r="D9" s="252" t="str">
        <f>+VLOOKUP(C9,ITEMS!A$4:C$101,2,0)</f>
        <v>Un</v>
      </c>
      <c r="E9" s="312">
        <v>4</v>
      </c>
      <c r="F9" s="307">
        <f>+VLOOKUP(C9,ITEMS!A$4:D$101,3,0)</f>
        <v>524196</v>
      </c>
      <c r="G9" s="701">
        <f t="shared" ref="G9:G18" si="0">+E9*F9</f>
        <v>2096784</v>
      </c>
      <c r="H9" s="703" t="s">
        <v>934</v>
      </c>
    </row>
    <row r="10" spans="1:11" ht="28.5">
      <c r="A10" s="304">
        <v>3</v>
      </c>
      <c r="B10" s="276"/>
      <c r="C10" s="310" t="s">
        <v>628</v>
      </c>
      <c r="D10" s="252" t="str">
        <f>+VLOOKUP(C10,ITEMS!A$4:C$101,2,0)</f>
        <v>Un</v>
      </c>
      <c r="E10" s="312">
        <v>2</v>
      </c>
      <c r="F10" s="307">
        <f>+VLOOKUP(C10,ITEMS!A$4:D$101,3,0)</f>
        <v>968212</v>
      </c>
      <c r="G10" s="701">
        <f t="shared" si="0"/>
        <v>1936424</v>
      </c>
      <c r="H10" s="703" t="s">
        <v>909</v>
      </c>
      <c r="I10" s="324"/>
      <c r="J10" s="324"/>
    </row>
    <row r="11" spans="1:11" ht="16.5">
      <c r="A11" s="308">
        <v>4</v>
      </c>
      <c r="B11" s="276" t="s">
        <v>613</v>
      </c>
      <c r="C11" s="310" t="s">
        <v>805</v>
      </c>
      <c r="D11" s="252" t="str">
        <f>+VLOOKUP(C11,ITEMS!A$4:C$101,2,0)</f>
        <v>Un</v>
      </c>
      <c r="E11" s="312">
        <v>5</v>
      </c>
      <c r="F11" s="307">
        <f>+VLOOKUP(C11,ITEMS!A$4:D$101,3,0)</f>
        <v>2176709</v>
      </c>
      <c r="G11" s="701">
        <f t="shared" si="0"/>
        <v>10883545</v>
      </c>
      <c r="H11" s="703" t="s">
        <v>935</v>
      </c>
      <c r="I11" s="324"/>
      <c r="J11" s="324"/>
    </row>
    <row r="12" spans="1:11" ht="30">
      <c r="A12" s="304">
        <v>5</v>
      </c>
      <c r="B12" s="327" t="s">
        <v>685</v>
      </c>
      <c r="C12" s="310" t="s">
        <v>682</v>
      </c>
      <c r="D12" s="252" t="str">
        <f>+VLOOKUP(C12,ITEMS!A$4:C$101,2,0)</f>
        <v>m</v>
      </c>
      <c r="E12" s="312">
        <f>100+30</f>
        <v>130</v>
      </c>
      <c r="F12" s="307">
        <f>+VLOOKUP(C12,ITEMS!A$4:D$101,3,0)</f>
        <v>448214</v>
      </c>
      <c r="G12" s="701">
        <f t="shared" si="0"/>
        <v>58267820</v>
      </c>
      <c r="H12" s="703" t="s">
        <v>936</v>
      </c>
      <c r="I12" s="324"/>
      <c r="J12" s="324"/>
      <c r="K12" s="324"/>
    </row>
    <row r="13" spans="1:11" ht="28.5">
      <c r="A13" s="304">
        <v>6</v>
      </c>
      <c r="B13" s="327" t="s">
        <v>685</v>
      </c>
      <c r="C13" s="310" t="s">
        <v>684</v>
      </c>
      <c r="D13" s="252" t="str">
        <f>+VLOOKUP(C13,ITEMS!A$4:C$101,2,0)</f>
        <v>m</v>
      </c>
      <c r="E13" s="312">
        <v>15</v>
      </c>
      <c r="F13" s="307">
        <f>+VLOOKUP(C13,ITEMS!A$4:D$101,3,0)</f>
        <v>709513</v>
      </c>
      <c r="G13" s="701">
        <f t="shared" si="0"/>
        <v>10642695</v>
      </c>
      <c r="H13" s="703" t="s">
        <v>910</v>
      </c>
      <c r="I13" s="324"/>
      <c r="J13" s="324"/>
      <c r="K13" s="324"/>
    </row>
    <row r="14" spans="1:11" ht="30">
      <c r="A14" s="308">
        <v>7</v>
      </c>
      <c r="B14" s="327"/>
      <c r="C14" s="310" t="s">
        <v>833</v>
      </c>
      <c r="D14" s="252" t="str">
        <f>+VLOOKUP(C14,ITEMS!A$4:C$101,2,0)</f>
        <v>m</v>
      </c>
      <c r="E14" s="312">
        <f>100+30+48+10</f>
        <v>188</v>
      </c>
      <c r="F14" s="307">
        <f>+VLOOKUP(C14,ITEMS!A$4:D$101,3,0)</f>
        <v>101944</v>
      </c>
      <c r="G14" s="701">
        <f t="shared" si="0"/>
        <v>19165472</v>
      </c>
      <c r="H14" s="703" t="s">
        <v>937</v>
      </c>
      <c r="I14" s="324"/>
      <c r="J14" s="324"/>
      <c r="K14" s="324"/>
    </row>
    <row r="15" spans="1:11" ht="16.5">
      <c r="A15" s="304">
        <v>8</v>
      </c>
      <c r="B15" s="327" t="s">
        <v>660</v>
      </c>
      <c r="C15" s="310" t="s">
        <v>636</v>
      </c>
      <c r="D15" s="252" t="str">
        <f>+VLOOKUP(C15,ITEMS!A$4:C$101,2,0)</f>
        <v>Un</v>
      </c>
      <c r="E15" s="312">
        <v>2</v>
      </c>
      <c r="F15" s="307">
        <f>+VLOOKUP(C15,ITEMS!A$4:D$101,3,0)</f>
        <v>775107</v>
      </c>
      <c r="G15" s="701">
        <f t="shared" si="0"/>
        <v>1550214</v>
      </c>
      <c r="H15" s="703" t="s">
        <v>909</v>
      </c>
      <c r="I15" s="324"/>
      <c r="J15" s="324"/>
      <c r="K15" s="324"/>
    </row>
    <row r="16" spans="1:11" ht="16.5">
      <c r="A16" s="304">
        <v>9</v>
      </c>
      <c r="B16" s="306"/>
      <c r="C16" s="310" t="s">
        <v>629</v>
      </c>
      <c r="D16" s="252" t="str">
        <f>+VLOOKUP(C16,ITEMS!A$4:C$101,2,0)</f>
        <v>Un</v>
      </c>
      <c r="E16" s="418">
        <v>2</v>
      </c>
      <c r="F16" s="307">
        <f>+VLOOKUP(C16,ITEMS!A$4:D$101,3,0)</f>
        <v>461792</v>
      </c>
      <c r="G16" s="701">
        <f t="shared" si="0"/>
        <v>923584</v>
      </c>
      <c r="H16" s="703" t="s">
        <v>911</v>
      </c>
      <c r="I16" s="324"/>
      <c r="J16" s="324"/>
      <c r="K16" s="324"/>
    </row>
    <row r="17" spans="1:12" ht="16.5">
      <c r="A17" s="308">
        <v>10</v>
      </c>
      <c r="B17" s="316"/>
      <c r="C17" s="310" t="s">
        <v>666</v>
      </c>
      <c r="D17" s="252" t="str">
        <f>+VLOOKUP(C17,ITEMS!A$4:C$101,2,0)</f>
        <v>Un</v>
      </c>
      <c r="E17" s="418">
        <v>6</v>
      </c>
      <c r="F17" s="307">
        <f>+VLOOKUP(C17,ITEMS!A$4:D$101,3,0)</f>
        <v>130900</v>
      </c>
      <c r="G17" s="701">
        <f t="shared" si="0"/>
        <v>785400</v>
      </c>
      <c r="H17" s="703" t="s">
        <v>912</v>
      </c>
      <c r="I17" s="324"/>
      <c r="J17" s="324"/>
      <c r="K17" s="324"/>
      <c r="L17" s="325"/>
    </row>
    <row r="18" spans="1:12" ht="16.5">
      <c r="A18" s="304">
        <v>11</v>
      </c>
      <c r="B18" s="316"/>
      <c r="C18" s="310" t="s">
        <v>668</v>
      </c>
      <c r="D18" s="252" t="str">
        <f>+VLOOKUP(C18,ITEMS!A$4:C$101,2,0)</f>
        <v>Un</v>
      </c>
      <c r="E18" s="418">
        <v>3</v>
      </c>
      <c r="F18" s="307">
        <f>+VLOOKUP(C18,ITEMS!A$4:D$101,3,0)</f>
        <v>284256</v>
      </c>
      <c r="G18" s="701">
        <f t="shared" si="0"/>
        <v>852768</v>
      </c>
      <c r="H18" s="703" t="s">
        <v>913</v>
      </c>
      <c r="I18" s="324"/>
      <c r="J18" s="324"/>
      <c r="K18" s="324"/>
    </row>
    <row r="19" spans="1:12" ht="16.5">
      <c r="A19" s="304">
        <v>12</v>
      </c>
      <c r="B19" s="316"/>
      <c r="C19" s="310" t="s">
        <v>657</v>
      </c>
      <c r="D19" s="318" t="str">
        <f>+VLOOKUP(C19,ITEMS!A$4:C$101,2,0)</f>
        <v>m</v>
      </c>
      <c r="E19" s="326">
        <v>110</v>
      </c>
      <c r="F19" s="319">
        <f>+VLOOKUP(C19,ITEMS!A$4:D$101,3,0)</f>
        <v>7935</v>
      </c>
      <c r="G19" s="630">
        <f t="shared" ref="G19:G24" si="1">+E19*F19</f>
        <v>872850</v>
      </c>
      <c r="H19" s="703" t="s">
        <v>938</v>
      </c>
      <c r="I19" s="324"/>
      <c r="J19" s="324"/>
      <c r="K19" s="324"/>
    </row>
    <row r="20" spans="1:12" ht="28.5">
      <c r="A20" s="308">
        <v>13</v>
      </c>
      <c r="B20" s="326"/>
      <c r="C20" s="438" t="s">
        <v>914</v>
      </c>
      <c r="D20" s="318" t="str">
        <f>+VLOOKUP(C20,ITEMS!A$4:C$101,2,0)</f>
        <v>m</v>
      </c>
      <c r="E20" s="326">
        <f>25+24</f>
        <v>49</v>
      </c>
      <c r="F20" s="319">
        <f>+VLOOKUP(C20,ITEMS!A$4:D$101,3,0)</f>
        <v>23805</v>
      </c>
      <c r="G20" s="630">
        <f t="shared" si="1"/>
        <v>1166445</v>
      </c>
      <c r="H20" s="703" t="s">
        <v>939</v>
      </c>
      <c r="I20" s="324"/>
      <c r="J20" s="324"/>
      <c r="K20" s="324"/>
    </row>
    <row r="21" spans="1:12" ht="28.5">
      <c r="A21" s="304">
        <v>14</v>
      </c>
      <c r="B21" s="316" t="s">
        <v>943</v>
      </c>
      <c r="C21" s="317" t="s">
        <v>697</v>
      </c>
      <c r="D21" s="320" t="str">
        <f>+VLOOKUP(C21,ITEMS!A$4:C$101,2,0)</f>
        <v>Un</v>
      </c>
      <c r="E21" s="421">
        <v>3</v>
      </c>
      <c r="F21" s="315">
        <f>+VLOOKUP(C21,ITEMS!A$4:D$101,3,0)</f>
        <v>752387</v>
      </c>
      <c r="G21" s="702">
        <f t="shared" si="1"/>
        <v>2257161</v>
      </c>
      <c r="H21" s="703" t="s">
        <v>915</v>
      </c>
      <c r="I21" s="324"/>
      <c r="J21" s="324"/>
      <c r="K21" s="324"/>
    </row>
    <row r="22" spans="1:12" ht="28.5">
      <c r="A22" s="304">
        <v>15</v>
      </c>
      <c r="B22" s="316" t="s">
        <v>944</v>
      </c>
      <c r="C22" s="317" t="s">
        <v>717</v>
      </c>
      <c r="D22" s="320" t="str">
        <f>+VLOOKUP(C22,ITEMS!A$4:C$101,2,0)</f>
        <v>Un</v>
      </c>
      <c r="E22" s="421">
        <v>1</v>
      </c>
      <c r="F22" s="315">
        <f>+VLOOKUP(C22,ITEMS!A$4:D$101,3,0)</f>
        <v>339483</v>
      </c>
      <c r="G22" s="702">
        <f t="shared" si="1"/>
        <v>339483</v>
      </c>
      <c r="H22" s="703" t="s">
        <v>916</v>
      </c>
      <c r="I22" s="324"/>
      <c r="J22" s="324"/>
      <c r="K22" s="324"/>
    </row>
    <row r="23" spans="1:12" ht="16.5">
      <c r="A23" s="308">
        <v>16</v>
      </c>
      <c r="B23" s="316" t="s">
        <v>944</v>
      </c>
      <c r="C23" s="317" t="s">
        <v>716</v>
      </c>
      <c r="D23" s="320" t="str">
        <f>+VLOOKUP(C23,ITEMS!A$4:C$101,2,0)</f>
        <v>Un</v>
      </c>
      <c r="E23" s="421">
        <f>1+1</f>
        <v>2</v>
      </c>
      <c r="F23" s="315">
        <f>+VLOOKUP(C23,ITEMS!A$4:D$101,3,0)</f>
        <v>1107456</v>
      </c>
      <c r="G23" s="702">
        <f t="shared" si="1"/>
        <v>2214912</v>
      </c>
      <c r="H23" s="703" t="s">
        <v>917</v>
      </c>
      <c r="I23" s="324"/>
      <c r="J23" s="324"/>
      <c r="K23" s="324"/>
    </row>
    <row r="24" spans="1:12" ht="16.5">
      <c r="A24" s="304">
        <v>17</v>
      </c>
      <c r="B24" s="369"/>
      <c r="C24" s="310" t="s">
        <v>663</v>
      </c>
      <c r="D24" s="320" t="str">
        <f>+VLOOKUP(C24,ITEMS!A$4:C$101,2,0)</f>
        <v>Un</v>
      </c>
      <c r="E24" s="420">
        <v>1</v>
      </c>
      <c r="F24" s="315">
        <f>+VLOOKUP(C24,ITEMS!A$4:D$101,3,0)</f>
        <v>721080</v>
      </c>
      <c r="G24" s="702">
        <f t="shared" si="1"/>
        <v>721080</v>
      </c>
      <c r="H24" s="703" t="s">
        <v>916</v>
      </c>
      <c r="I24" s="324"/>
      <c r="J24" s="324"/>
      <c r="K24" s="324"/>
    </row>
    <row r="25" spans="1:12" ht="16.5">
      <c r="A25" s="322"/>
      <c r="B25" s="316"/>
      <c r="C25" s="317"/>
      <c r="D25" s="318"/>
      <c r="E25" s="326"/>
      <c r="F25" s="319"/>
      <c r="G25" s="630"/>
      <c r="H25" s="703"/>
    </row>
    <row r="26" spans="1:12" ht="16.5">
      <c r="A26" s="336"/>
      <c r="B26" s="348"/>
      <c r="C26" s="349" t="s">
        <v>719</v>
      </c>
      <c r="D26" s="350"/>
      <c r="E26" s="350"/>
      <c r="F26" s="348"/>
      <c r="G26" s="631">
        <f>SUM(G8:G25)</f>
        <v>127048085</v>
      </c>
      <c r="H26" s="703"/>
    </row>
    <row r="27" spans="1:12" ht="16.5">
      <c r="A27" s="351"/>
      <c r="B27" s="352"/>
      <c r="C27" s="353"/>
      <c r="D27" s="354"/>
      <c r="E27" s="354"/>
      <c r="F27" s="352"/>
      <c r="G27" s="355"/>
    </row>
    <row r="45" spans="2:10">
      <c r="J45" t="s">
        <v>1148</v>
      </c>
    </row>
    <row r="47" spans="2:10">
      <c r="B47" s="633"/>
    </row>
    <row r="48" spans="2:10">
      <c r="D48" s="633"/>
    </row>
    <row r="50" spans="1:8" ht="15">
      <c r="A50" s="696"/>
      <c r="B50" s="696"/>
      <c r="C50" s="697" t="s">
        <v>1184</v>
      </c>
      <c r="D50" s="696"/>
      <c r="E50" s="696"/>
      <c r="F50" s="696"/>
      <c r="G50" s="704"/>
      <c r="H50" s="477"/>
    </row>
    <row r="51" spans="1:8" ht="15">
      <c r="A51" s="696"/>
      <c r="B51" s="696"/>
      <c r="C51" s="697" t="s">
        <v>1190</v>
      </c>
      <c r="D51" s="696"/>
      <c r="E51" s="696"/>
      <c r="F51" s="696"/>
      <c r="G51" s="704"/>
      <c r="H51" s="477"/>
    </row>
    <row r="52" spans="1:8" ht="25.5">
      <c r="A52" s="698" t="s">
        <v>593</v>
      </c>
      <c r="B52" s="693"/>
      <c r="C52" s="698" t="s">
        <v>594</v>
      </c>
      <c r="D52" s="698" t="s">
        <v>630</v>
      </c>
      <c r="E52" s="698" t="s">
        <v>771</v>
      </c>
      <c r="F52" s="346" t="s">
        <v>655</v>
      </c>
      <c r="G52" s="626" t="s">
        <v>610</v>
      </c>
      <c r="H52" s="689" t="s">
        <v>1137</v>
      </c>
    </row>
    <row r="53" spans="1:8" ht="30">
      <c r="A53" s="682">
        <v>1</v>
      </c>
      <c r="B53" s="658"/>
      <c r="C53" s="690" t="s">
        <v>1182</v>
      </c>
      <c r="D53" s="691" t="s">
        <v>969</v>
      </c>
      <c r="E53" s="692">
        <v>148</v>
      </c>
      <c r="F53" s="694">
        <f>+'BT-AP-TEL'!$F$8</f>
        <v>20150</v>
      </c>
      <c r="G53" s="695">
        <f>+E53*F53</f>
        <v>2982200</v>
      </c>
      <c r="H53" s="689"/>
    </row>
    <row r="54" spans="1:8" ht="30">
      <c r="A54" s="682">
        <v>2</v>
      </c>
      <c r="B54" s="658"/>
      <c r="C54" s="690" t="s">
        <v>1180</v>
      </c>
      <c r="D54" s="691" t="s">
        <v>969</v>
      </c>
      <c r="E54" s="692">
        <v>90</v>
      </c>
      <c r="F54" s="694">
        <f>+'BT-AP-TEL'!$F$19</f>
        <v>97451</v>
      </c>
      <c r="G54" s="695">
        <f t="shared" ref="G54:G57" si="2">+E54*F54</f>
        <v>8770590</v>
      </c>
      <c r="H54" s="693"/>
    </row>
    <row r="55" spans="1:8" ht="30">
      <c r="A55" s="682">
        <v>3</v>
      </c>
      <c r="B55" s="658"/>
      <c r="C55" s="690" t="s">
        <v>1181</v>
      </c>
      <c r="D55" s="691" t="s">
        <v>969</v>
      </c>
      <c r="E55" s="692">
        <v>6</v>
      </c>
      <c r="F55" s="694">
        <f>+'BT-AP-TEL'!$F$27</f>
        <v>85167</v>
      </c>
      <c r="G55" s="695">
        <f t="shared" si="2"/>
        <v>511002</v>
      </c>
      <c r="H55" s="693"/>
    </row>
    <row r="56" spans="1:8" ht="30">
      <c r="A56" s="682">
        <v>4</v>
      </c>
      <c r="B56" s="658"/>
      <c r="C56" s="690" t="s">
        <v>1183</v>
      </c>
      <c r="D56" s="691" t="s">
        <v>8</v>
      </c>
      <c r="E56" s="692">
        <v>6</v>
      </c>
      <c r="F56" s="694">
        <f>+'BT-AP-TEL'!$F$34</f>
        <v>795107</v>
      </c>
      <c r="G56" s="695">
        <f t="shared" si="2"/>
        <v>4770642</v>
      </c>
      <c r="H56" s="693"/>
    </row>
    <row r="57" spans="1:8" ht="60">
      <c r="A57" s="682">
        <v>5</v>
      </c>
      <c r="B57" s="658"/>
      <c r="C57" s="690" t="s">
        <v>1179</v>
      </c>
      <c r="D57" s="691" t="s">
        <v>8</v>
      </c>
      <c r="E57" s="692">
        <v>148</v>
      </c>
      <c r="F57" s="694">
        <f>+'BT-AP-TEL'!$F$46</f>
        <v>26243</v>
      </c>
      <c r="G57" s="695">
        <f t="shared" si="2"/>
        <v>3883964</v>
      </c>
      <c r="H57" s="693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topLeftCell="A7" workbookViewId="0">
      <selection activeCell="C14" sqref="C14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6" max="6" width="12.625" bestFit="1" customWidth="1"/>
    <col min="7" max="7" width="11.75" bestFit="1" customWidth="1"/>
    <col min="8" max="8" width="79.5" customWidth="1"/>
  </cols>
  <sheetData>
    <row r="1" spans="1:8">
      <c r="A1" s="875" t="s">
        <v>1188</v>
      </c>
      <c r="B1" s="875"/>
      <c r="C1" s="875"/>
      <c r="D1" s="875"/>
      <c r="E1" s="875"/>
      <c r="F1" s="875"/>
      <c r="G1" s="875"/>
    </row>
    <row r="2" spans="1:8">
      <c r="A2" s="875"/>
      <c r="B2" s="875"/>
      <c r="C2" s="875"/>
      <c r="D2" s="875"/>
      <c r="E2" s="875"/>
      <c r="F2" s="875"/>
      <c r="G2" s="875"/>
    </row>
    <row r="3" spans="1:8">
      <c r="A3" s="876"/>
      <c r="B3" s="876"/>
      <c r="C3" s="876"/>
      <c r="D3" s="876"/>
      <c r="E3" s="876"/>
      <c r="F3" s="876"/>
      <c r="G3" s="876"/>
    </row>
    <row r="4" spans="1:8" ht="30" customHeight="1">
      <c r="A4" s="870" t="s">
        <v>667</v>
      </c>
      <c r="B4" s="870"/>
      <c r="C4" s="870"/>
      <c r="D4" s="870"/>
      <c r="E4" s="870"/>
      <c r="F4" s="870"/>
      <c r="G4" s="871"/>
      <c r="H4" s="703"/>
    </row>
    <row r="5" spans="1:8" ht="15.75" customHeight="1">
      <c r="A5" s="872"/>
      <c r="B5" s="873"/>
      <c r="C5" s="873"/>
      <c r="D5" s="873"/>
      <c r="E5" s="873"/>
      <c r="F5" s="873"/>
      <c r="G5" s="879"/>
      <c r="H5" s="703"/>
    </row>
    <row r="6" spans="1:8" ht="15.75" customHeight="1">
      <c r="A6" s="347"/>
      <c r="B6" s="358"/>
      <c r="C6" s="358" t="s">
        <v>718</v>
      </c>
      <c r="D6" s="358"/>
      <c r="E6" s="358"/>
      <c r="F6" s="358"/>
      <c r="G6" s="699"/>
      <c r="H6" s="705"/>
    </row>
    <row r="7" spans="1:8" ht="16.5">
      <c r="A7" s="336"/>
      <c r="B7" s="348"/>
      <c r="C7" s="349" t="s">
        <v>719</v>
      </c>
      <c r="D7" s="350"/>
      <c r="E7" s="350"/>
      <c r="F7" s="348"/>
      <c r="G7" s="631"/>
      <c r="H7" s="708" t="s">
        <v>1204</v>
      </c>
    </row>
    <row r="8" spans="1:8" ht="16.5">
      <c r="A8" s="351"/>
      <c r="B8" s="352"/>
      <c r="C8" s="353"/>
      <c r="D8" s="354"/>
      <c r="E8" s="354"/>
      <c r="F8" s="352"/>
      <c r="G8" s="355"/>
    </row>
    <row r="26" spans="1:10">
      <c r="J26" t="s">
        <v>1148</v>
      </c>
    </row>
    <row r="28" spans="1:10">
      <c r="B28" s="633"/>
    </row>
    <row r="29" spans="1:10">
      <c r="D29" s="633"/>
    </row>
    <row r="31" spans="1:10" ht="15">
      <c r="A31" s="696"/>
      <c r="B31" s="696"/>
      <c r="C31" s="697" t="s">
        <v>1184</v>
      </c>
      <c r="D31" s="696"/>
      <c r="E31" s="696"/>
      <c r="F31" s="696"/>
      <c r="G31" s="704"/>
      <c r="H31" s="477"/>
    </row>
    <row r="32" spans="1:10" ht="15">
      <c r="A32" s="696"/>
      <c r="B32" s="696"/>
      <c r="C32" s="697" t="s">
        <v>1189</v>
      </c>
      <c r="D32" s="696"/>
      <c r="E32" s="696"/>
      <c r="F32" s="696"/>
      <c r="G32" s="704"/>
      <c r="H32" s="477"/>
    </row>
    <row r="33" spans="1:8" ht="25.5">
      <c r="A33" s="698" t="s">
        <v>593</v>
      </c>
      <c r="B33" s="693"/>
      <c r="C33" s="698" t="s">
        <v>594</v>
      </c>
      <c r="D33" s="698" t="s">
        <v>630</v>
      </c>
      <c r="E33" s="698" t="s">
        <v>771</v>
      </c>
      <c r="F33" s="346" t="s">
        <v>655</v>
      </c>
      <c r="G33" s="626" t="s">
        <v>610</v>
      </c>
      <c r="H33" s="689" t="s">
        <v>1137</v>
      </c>
    </row>
    <row r="34" spans="1:8" ht="30">
      <c r="A34" s="682">
        <v>1</v>
      </c>
      <c r="B34" s="658"/>
      <c r="C34" s="690" t="s">
        <v>1182</v>
      </c>
      <c r="D34" s="691" t="s">
        <v>969</v>
      </c>
      <c r="E34" s="692">
        <v>145</v>
      </c>
      <c r="F34" s="694">
        <f>+'BT-AP-TEL'!$F$8</f>
        <v>20150</v>
      </c>
      <c r="G34" s="695">
        <f>+E34*F34</f>
        <v>2921750</v>
      </c>
      <c r="H34" s="689"/>
    </row>
    <row r="35" spans="1:8" ht="30">
      <c r="A35" s="682">
        <v>2</v>
      </c>
      <c r="B35" s="658"/>
      <c r="C35" s="690" t="s">
        <v>1180</v>
      </c>
      <c r="D35" s="691" t="s">
        <v>969</v>
      </c>
      <c r="E35" s="692">
        <v>95</v>
      </c>
      <c r="F35" s="694">
        <f>+'BT-AP-TEL'!$F$19</f>
        <v>97451</v>
      </c>
      <c r="G35" s="695">
        <f t="shared" ref="G35:G38" si="0">+E35*F35</f>
        <v>9257845</v>
      </c>
      <c r="H35" s="693"/>
    </row>
    <row r="36" spans="1:8" ht="30">
      <c r="A36" s="682">
        <v>3</v>
      </c>
      <c r="B36" s="658"/>
      <c r="C36" s="690" t="s">
        <v>1181</v>
      </c>
      <c r="D36" s="691" t="s">
        <v>969</v>
      </c>
      <c r="E36" s="692">
        <v>6</v>
      </c>
      <c r="F36" s="694">
        <f>+'BT-AP-TEL'!$F$27</f>
        <v>85167</v>
      </c>
      <c r="G36" s="695">
        <f t="shared" si="0"/>
        <v>511002</v>
      </c>
      <c r="H36" s="693"/>
    </row>
    <row r="37" spans="1:8" ht="30">
      <c r="A37" s="682">
        <v>4</v>
      </c>
      <c r="B37" s="658"/>
      <c r="C37" s="690" t="s">
        <v>1183</v>
      </c>
      <c r="D37" s="691" t="s">
        <v>8</v>
      </c>
      <c r="E37" s="692">
        <v>4</v>
      </c>
      <c r="F37" s="694">
        <f>+'BT-AP-TEL'!$F$34</f>
        <v>795107</v>
      </c>
      <c r="G37" s="695">
        <f t="shared" si="0"/>
        <v>3180428</v>
      </c>
      <c r="H37" s="693"/>
    </row>
    <row r="38" spans="1:8" ht="60">
      <c r="A38" s="682">
        <v>5</v>
      </c>
      <c r="B38" s="658"/>
      <c r="C38" s="690" t="s">
        <v>1179</v>
      </c>
      <c r="D38" s="691" t="s">
        <v>8</v>
      </c>
      <c r="E38" s="692">
        <v>145</v>
      </c>
      <c r="F38" s="694">
        <f>+'BT-AP-TEL'!$F$46</f>
        <v>26243</v>
      </c>
      <c r="G38" s="695">
        <f t="shared" si="0"/>
        <v>3805235</v>
      </c>
      <c r="H38" s="693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tabSelected="1" zoomScale="70" zoomScaleNormal="70" workbookViewId="0">
      <selection activeCell="G47" sqref="G47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6" max="6" width="12.625" bestFit="1" customWidth="1"/>
    <col min="7" max="7" width="11.75" bestFit="1" customWidth="1"/>
    <col min="8" max="8" width="79.5" customWidth="1"/>
  </cols>
  <sheetData>
    <row r="1" spans="1:8">
      <c r="A1" s="875" t="s">
        <v>1191</v>
      </c>
      <c r="B1" s="875"/>
      <c r="C1" s="875"/>
      <c r="D1" s="875"/>
      <c r="E1" s="875"/>
      <c r="F1" s="875"/>
      <c r="G1" s="875"/>
    </row>
    <row r="2" spans="1:8">
      <c r="A2" s="875"/>
      <c r="B2" s="875"/>
      <c r="C2" s="875"/>
      <c r="D2" s="875"/>
      <c r="E2" s="875"/>
      <c r="F2" s="875"/>
      <c r="G2" s="875"/>
    </row>
    <row r="3" spans="1:8">
      <c r="A3" s="876"/>
      <c r="B3" s="876"/>
      <c r="C3" s="876"/>
      <c r="D3" s="876"/>
      <c r="E3" s="876"/>
      <c r="F3" s="876"/>
      <c r="G3" s="876"/>
    </row>
    <row r="4" spans="1:8" ht="30" customHeight="1">
      <c r="A4" s="870" t="s">
        <v>667</v>
      </c>
      <c r="B4" s="870"/>
      <c r="C4" s="870"/>
      <c r="D4" s="870"/>
      <c r="E4" s="870"/>
      <c r="F4" s="870"/>
      <c r="G4" s="871"/>
      <c r="H4" s="703"/>
    </row>
    <row r="5" spans="1:8" ht="15.75" customHeight="1">
      <c r="A5" s="872"/>
      <c r="B5" s="873"/>
      <c r="C5" s="873"/>
      <c r="D5" s="873"/>
      <c r="E5" s="873"/>
      <c r="F5" s="873"/>
      <c r="G5" s="879"/>
      <c r="H5" s="703"/>
    </row>
    <row r="6" spans="1:8" ht="15.75" customHeight="1">
      <c r="A6" s="347"/>
      <c r="B6" s="358"/>
      <c r="C6" s="358" t="s">
        <v>718</v>
      </c>
      <c r="D6" s="358"/>
      <c r="E6" s="358"/>
      <c r="F6" s="358"/>
      <c r="G6" s="699"/>
      <c r="H6" s="705"/>
    </row>
    <row r="7" spans="1:8" ht="16.5">
      <c r="A7" s="336"/>
      <c r="B7" s="348"/>
      <c r="C7" s="349" t="s">
        <v>719</v>
      </c>
      <c r="D7" s="350"/>
      <c r="E7" s="350"/>
      <c r="F7" s="348"/>
      <c r="G7" s="631"/>
      <c r="H7" s="708" t="s">
        <v>1204</v>
      </c>
    </row>
    <row r="8" spans="1:8" ht="16.5">
      <c r="A8" s="351"/>
      <c r="B8" s="352"/>
      <c r="C8" s="353"/>
      <c r="D8" s="354"/>
      <c r="E8" s="354"/>
      <c r="F8" s="352"/>
      <c r="G8" s="355"/>
    </row>
    <row r="26" spans="1:10">
      <c r="J26" t="s">
        <v>1148</v>
      </c>
    </row>
    <row r="28" spans="1:10">
      <c r="B28" s="633"/>
    </row>
    <row r="29" spans="1:10">
      <c r="D29" s="633"/>
    </row>
    <row r="31" spans="1:10" ht="15">
      <c r="A31" s="696"/>
      <c r="B31" s="696"/>
      <c r="C31" s="697" t="s">
        <v>1184</v>
      </c>
      <c r="D31" s="696"/>
      <c r="E31" s="696"/>
      <c r="F31" s="696"/>
      <c r="G31" s="704"/>
      <c r="H31" s="477"/>
    </row>
    <row r="32" spans="1:10" ht="15">
      <c r="A32" s="696"/>
      <c r="B32" s="696"/>
      <c r="C32" s="697" t="s">
        <v>1192</v>
      </c>
      <c r="D32" s="696"/>
      <c r="E32" s="696"/>
      <c r="F32" s="696"/>
      <c r="G32" s="704"/>
      <c r="H32" s="477"/>
    </row>
    <row r="33" spans="1:8" ht="25.5">
      <c r="A33" s="698" t="s">
        <v>593</v>
      </c>
      <c r="B33" s="693"/>
      <c r="C33" s="698" t="s">
        <v>594</v>
      </c>
      <c r="D33" s="698" t="s">
        <v>630</v>
      </c>
      <c r="E33" s="698" t="s">
        <v>771</v>
      </c>
      <c r="F33" s="346" t="s">
        <v>655</v>
      </c>
      <c r="G33" s="626" t="s">
        <v>610</v>
      </c>
      <c r="H33" s="689" t="s">
        <v>1137</v>
      </c>
    </row>
    <row r="34" spans="1:8" ht="30">
      <c r="A34" s="682">
        <v>1</v>
      </c>
      <c r="B34" s="658"/>
      <c r="C34" s="690" t="s">
        <v>1182</v>
      </c>
      <c r="D34" s="691" t="s">
        <v>969</v>
      </c>
      <c r="E34" s="692">
        <v>85</v>
      </c>
      <c r="F34" s="694">
        <f>+'BT-AP-TEL'!$F$8</f>
        <v>20150</v>
      </c>
      <c r="G34" s="695">
        <f>+E34*F34</f>
        <v>1712750</v>
      </c>
      <c r="H34" s="689"/>
    </row>
    <row r="35" spans="1:8" ht="30">
      <c r="A35" s="682">
        <v>2</v>
      </c>
      <c r="B35" s="658"/>
      <c r="C35" s="690" t="s">
        <v>1180</v>
      </c>
      <c r="D35" s="691" t="s">
        <v>969</v>
      </c>
      <c r="E35" s="692">
        <v>85</v>
      </c>
      <c r="F35" s="694">
        <f>+'BT-AP-TEL'!$F$19</f>
        <v>97451</v>
      </c>
      <c r="G35" s="695">
        <f t="shared" ref="G35:G38" si="0">+E35*F35</f>
        <v>8283335</v>
      </c>
      <c r="H35" s="693"/>
    </row>
    <row r="36" spans="1:8" ht="30">
      <c r="A36" s="682">
        <v>3</v>
      </c>
      <c r="B36" s="658"/>
      <c r="C36" s="690" t="s">
        <v>1181</v>
      </c>
      <c r="D36" s="691" t="s">
        <v>969</v>
      </c>
      <c r="E36" s="692">
        <v>4</v>
      </c>
      <c r="F36" s="694">
        <f>+'BT-AP-TEL'!$F$27</f>
        <v>85167</v>
      </c>
      <c r="G36" s="695">
        <f t="shared" si="0"/>
        <v>340668</v>
      </c>
      <c r="H36" s="693"/>
    </row>
    <row r="37" spans="1:8" ht="30">
      <c r="A37" s="682">
        <v>4</v>
      </c>
      <c r="B37" s="658"/>
      <c r="C37" s="690" t="s">
        <v>1183</v>
      </c>
      <c r="D37" s="691" t="s">
        <v>8</v>
      </c>
      <c r="E37" s="692">
        <v>4</v>
      </c>
      <c r="F37" s="694">
        <f>+'BT-AP-TEL'!$F$34</f>
        <v>795107</v>
      </c>
      <c r="G37" s="695">
        <f t="shared" si="0"/>
        <v>3180428</v>
      </c>
      <c r="H37" s="693"/>
    </row>
    <row r="38" spans="1:8" ht="60">
      <c r="A38" s="682">
        <v>5</v>
      </c>
      <c r="B38" s="658"/>
      <c r="C38" s="690" t="s">
        <v>1179</v>
      </c>
      <c r="D38" s="691" t="s">
        <v>8</v>
      </c>
      <c r="E38" s="692">
        <v>85</v>
      </c>
      <c r="F38" s="694">
        <f>+'BT-AP-TEL'!$F$46</f>
        <v>26243</v>
      </c>
      <c r="G38" s="695">
        <f t="shared" si="0"/>
        <v>2230655</v>
      </c>
      <c r="H38" s="693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57"/>
  <sheetViews>
    <sheetView zoomScale="80" zoomScaleNormal="80" workbookViewId="0">
      <selection activeCell="G26" sqref="G26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5" max="5" width="10.375" bestFit="1" customWidth="1"/>
    <col min="6" max="6" width="15.25" bestFit="1" customWidth="1"/>
    <col min="7" max="7" width="15" bestFit="1" customWidth="1"/>
    <col min="8" max="8" width="79.5" customWidth="1"/>
  </cols>
  <sheetData>
    <row r="1" spans="1:11">
      <c r="A1" s="875" t="s">
        <v>1193</v>
      </c>
      <c r="B1" s="875"/>
      <c r="C1" s="875"/>
      <c r="D1" s="875"/>
      <c r="E1" s="875"/>
      <c r="F1" s="875"/>
      <c r="G1" s="875"/>
    </row>
    <row r="2" spans="1:11">
      <c r="A2" s="875"/>
      <c r="B2" s="875"/>
      <c r="C2" s="875"/>
      <c r="D2" s="875"/>
      <c r="E2" s="875"/>
      <c r="F2" s="875"/>
      <c r="G2" s="875"/>
    </row>
    <row r="3" spans="1:11">
      <c r="A3" s="876"/>
      <c r="B3" s="876"/>
      <c r="C3" s="876"/>
      <c r="D3" s="876"/>
      <c r="E3" s="876"/>
      <c r="F3" s="876"/>
      <c r="G3" s="876"/>
    </row>
    <row r="4" spans="1:11" ht="30" customHeight="1">
      <c r="A4" s="870" t="s">
        <v>667</v>
      </c>
      <c r="B4" s="870"/>
      <c r="C4" s="870"/>
      <c r="D4" s="870"/>
      <c r="E4" s="870"/>
      <c r="F4" s="870"/>
      <c r="G4" s="871"/>
      <c r="H4" s="703"/>
    </row>
    <row r="5" spans="1:11" ht="15.75" customHeight="1">
      <c r="A5" s="872"/>
      <c r="B5" s="873"/>
      <c r="C5" s="873"/>
      <c r="D5" s="873"/>
      <c r="E5" s="873"/>
      <c r="F5" s="873"/>
      <c r="G5" s="879"/>
      <c r="H5" s="703"/>
    </row>
    <row r="6" spans="1:11" ht="15.75" customHeight="1">
      <c r="A6" s="347"/>
      <c r="B6" s="358"/>
      <c r="C6" s="358" t="s">
        <v>718</v>
      </c>
      <c r="D6" s="358"/>
      <c r="E6" s="358"/>
      <c r="F6" s="358"/>
      <c r="G6" s="699"/>
      <c r="H6" s="705"/>
    </row>
    <row r="7" spans="1:11">
      <c r="A7" s="345" t="s">
        <v>593</v>
      </c>
      <c r="B7" s="345" t="s">
        <v>611</v>
      </c>
      <c r="C7" s="345" t="s">
        <v>594</v>
      </c>
      <c r="D7" s="345" t="s">
        <v>630</v>
      </c>
      <c r="E7" s="345" t="s">
        <v>656</v>
      </c>
      <c r="F7" s="346" t="s">
        <v>655</v>
      </c>
      <c r="G7" s="700" t="s">
        <v>610</v>
      </c>
      <c r="H7" s="346" t="s">
        <v>1137</v>
      </c>
    </row>
    <row r="8" spans="1:11" ht="60">
      <c r="A8" s="308">
        <v>1</v>
      </c>
      <c r="B8" s="309" t="s">
        <v>608</v>
      </c>
      <c r="C8" s="440" t="s">
        <v>1090</v>
      </c>
      <c r="D8" s="311" t="str">
        <f>+VLOOKUP(C8,ITEMS!A$4:C$101,2,0)</f>
        <v>Un</v>
      </c>
      <c r="E8" s="838">
        <v>4</v>
      </c>
      <c r="F8" s="313">
        <f>+VLOOKUP(C8,ITEMS!A$4:D$101,3,0)</f>
        <v>3092862</v>
      </c>
      <c r="G8" s="627">
        <f>+E8*F8</f>
        <v>12371448</v>
      </c>
      <c r="H8" s="703" t="s">
        <v>1195</v>
      </c>
    </row>
    <row r="9" spans="1:11" ht="28.5">
      <c r="A9" s="304">
        <v>2</v>
      </c>
      <c r="B9" s="276" t="s">
        <v>609</v>
      </c>
      <c r="C9" s="310" t="s">
        <v>612</v>
      </c>
      <c r="D9" s="252" t="str">
        <f>+VLOOKUP(C9,ITEMS!A$4:C$101,2,0)</f>
        <v>Un</v>
      </c>
      <c r="E9" s="838">
        <v>4</v>
      </c>
      <c r="F9" s="307">
        <f>+VLOOKUP(C9,ITEMS!A$4:D$101,3,0)</f>
        <v>524196</v>
      </c>
      <c r="G9" s="701">
        <f t="shared" ref="G9:G24" si="0">+E9*F9</f>
        <v>2096784</v>
      </c>
      <c r="H9" s="703" t="s">
        <v>1195</v>
      </c>
    </row>
    <row r="10" spans="1:11" ht="28.5">
      <c r="A10" s="304">
        <v>3</v>
      </c>
      <c r="B10" s="276"/>
      <c r="C10" s="310" t="s">
        <v>628</v>
      </c>
      <c r="D10" s="252" t="str">
        <f>+VLOOKUP(C10,ITEMS!A$4:C$101,2,0)</f>
        <v>Un</v>
      </c>
      <c r="E10" s="838">
        <v>2</v>
      </c>
      <c r="F10" s="307">
        <f>+VLOOKUP(C10,ITEMS!A$4:D$101,3,0)</f>
        <v>968212</v>
      </c>
      <c r="G10" s="701">
        <f t="shared" si="0"/>
        <v>1936424</v>
      </c>
      <c r="H10" s="703" t="s">
        <v>1196</v>
      </c>
      <c r="I10" s="324"/>
      <c r="J10" s="324"/>
    </row>
    <row r="11" spans="1:11" ht="16.5">
      <c r="A11" s="308">
        <v>4</v>
      </c>
      <c r="B11" s="276" t="s">
        <v>613</v>
      </c>
      <c r="C11" s="310" t="s">
        <v>805</v>
      </c>
      <c r="D11" s="252" t="str">
        <f>+VLOOKUP(C11,ITEMS!A$4:C$101,2,0)</f>
        <v>Un</v>
      </c>
      <c r="E11" s="838">
        <v>4</v>
      </c>
      <c r="F11" s="307">
        <f>+VLOOKUP(C11,ITEMS!A$4:D$101,3,0)</f>
        <v>2176709</v>
      </c>
      <c r="G11" s="701">
        <f t="shared" si="0"/>
        <v>8706836</v>
      </c>
      <c r="H11" s="703" t="s">
        <v>1195</v>
      </c>
      <c r="I11" s="324"/>
      <c r="J11" s="324"/>
    </row>
    <row r="12" spans="1:11" ht="16.5">
      <c r="A12" s="304">
        <v>5</v>
      </c>
      <c r="B12" s="327" t="s">
        <v>685</v>
      </c>
      <c r="C12" s="310" t="s">
        <v>682</v>
      </c>
      <c r="D12" s="252" t="str">
        <f>+VLOOKUP(C12,ITEMS!A$4:C$101,2,0)</f>
        <v>m</v>
      </c>
      <c r="E12" s="838">
        <v>60</v>
      </c>
      <c r="F12" s="307">
        <f>+VLOOKUP(C12,ITEMS!A$4:D$101,3,0)</f>
        <v>448214</v>
      </c>
      <c r="G12" s="701">
        <f t="shared" si="0"/>
        <v>26892840</v>
      </c>
      <c r="H12" s="703" t="s">
        <v>1197</v>
      </c>
      <c r="I12" s="324"/>
      <c r="J12" s="324"/>
      <c r="K12" s="324"/>
    </row>
    <row r="13" spans="1:11" ht="28.5">
      <c r="A13" s="304">
        <v>6</v>
      </c>
      <c r="B13" s="327" t="s">
        <v>685</v>
      </c>
      <c r="C13" s="310" t="s">
        <v>684</v>
      </c>
      <c r="D13" s="252" t="str">
        <f>+VLOOKUP(C13,ITEMS!A$4:C$101,2,0)</f>
        <v>m</v>
      </c>
      <c r="E13" s="838">
        <v>5</v>
      </c>
      <c r="F13" s="307">
        <f>+VLOOKUP(C13,ITEMS!A$4:D$101,3,0)</f>
        <v>709513</v>
      </c>
      <c r="G13" s="701">
        <f t="shared" si="0"/>
        <v>3547565</v>
      </c>
      <c r="H13" s="703" t="s">
        <v>1198</v>
      </c>
      <c r="I13" s="324"/>
      <c r="J13" s="324"/>
      <c r="K13" s="324"/>
    </row>
    <row r="14" spans="1:11" ht="28.5">
      <c r="A14" s="308">
        <v>7</v>
      </c>
      <c r="B14" s="327"/>
      <c r="C14" s="310" t="s">
        <v>833</v>
      </c>
      <c r="D14" s="252" t="str">
        <f>+VLOOKUP(C14,ITEMS!A$4:C$101,2,0)</f>
        <v>m</v>
      </c>
      <c r="E14" s="838">
        <f>65+48+8</f>
        <v>121</v>
      </c>
      <c r="F14" s="307">
        <f>+VLOOKUP(C14,ITEMS!A$4:D$101,3,0)</f>
        <v>101944</v>
      </c>
      <c r="G14" s="701">
        <f t="shared" si="0"/>
        <v>12335224</v>
      </c>
      <c r="H14" s="703" t="s">
        <v>1199</v>
      </c>
      <c r="I14" s="324"/>
      <c r="J14" s="324"/>
      <c r="K14" s="324"/>
    </row>
    <row r="15" spans="1:11" ht="16.5">
      <c r="A15" s="304">
        <v>8</v>
      </c>
      <c r="B15" s="327" t="s">
        <v>660</v>
      </c>
      <c r="C15" s="310" t="s">
        <v>636</v>
      </c>
      <c r="D15" s="252" t="str">
        <f>+VLOOKUP(C15,ITEMS!A$4:C$101,2,0)</f>
        <v>Un</v>
      </c>
      <c r="E15" s="838">
        <v>2</v>
      </c>
      <c r="F15" s="307">
        <f>+VLOOKUP(C15,ITEMS!A$4:D$101,3,0)</f>
        <v>775107</v>
      </c>
      <c r="G15" s="701">
        <f t="shared" si="0"/>
        <v>1550214</v>
      </c>
      <c r="H15" s="703" t="s">
        <v>1200</v>
      </c>
      <c r="I15" s="324"/>
      <c r="J15" s="324"/>
      <c r="K15" s="324"/>
    </row>
    <row r="16" spans="1:11" ht="16.5">
      <c r="A16" s="304">
        <v>9</v>
      </c>
      <c r="B16" s="306"/>
      <c r="C16" s="310" t="s">
        <v>629</v>
      </c>
      <c r="D16" s="252" t="str">
        <f>+VLOOKUP(C16,ITEMS!A$4:C$101,2,0)</f>
        <v>Un</v>
      </c>
      <c r="E16" s="418">
        <v>2</v>
      </c>
      <c r="F16" s="307">
        <f>+VLOOKUP(C16,ITEMS!A$4:D$101,3,0)</f>
        <v>461792</v>
      </c>
      <c r="G16" s="701">
        <f t="shared" si="0"/>
        <v>923584</v>
      </c>
      <c r="H16" s="703" t="s">
        <v>1201</v>
      </c>
      <c r="I16" s="324"/>
      <c r="J16" s="324"/>
      <c r="K16" s="324"/>
    </row>
    <row r="17" spans="1:12" ht="16.5">
      <c r="A17" s="308">
        <v>10</v>
      </c>
      <c r="B17" s="316"/>
      <c r="C17" s="310" t="s">
        <v>666</v>
      </c>
      <c r="D17" s="252" t="str">
        <f>+VLOOKUP(C17,ITEMS!A$4:C$101,2,0)</f>
        <v>Un</v>
      </c>
      <c r="E17" s="418">
        <v>2</v>
      </c>
      <c r="F17" s="307">
        <f>+VLOOKUP(C17,ITEMS!A$4:D$101,3,0)</f>
        <v>130900</v>
      </c>
      <c r="G17" s="701">
        <f t="shared" si="0"/>
        <v>261800</v>
      </c>
      <c r="H17" s="703" t="s">
        <v>1196</v>
      </c>
      <c r="I17" s="324"/>
      <c r="J17" s="324"/>
      <c r="K17" s="324"/>
      <c r="L17" s="325"/>
    </row>
    <row r="18" spans="1:12" ht="16.5">
      <c r="A18" s="304">
        <v>11</v>
      </c>
      <c r="B18" s="316"/>
      <c r="C18" s="310" t="s">
        <v>668</v>
      </c>
      <c r="D18" s="252" t="str">
        <f>+VLOOKUP(C18,ITEMS!A$4:C$101,2,0)</f>
        <v>Un</v>
      </c>
      <c r="E18" s="418">
        <v>2</v>
      </c>
      <c r="F18" s="307">
        <f>+VLOOKUP(C18,ITEMS!A$4:D$101,3,0)</f>
        <v>284256</v>
      </c>
      <c r="G18" s="701">
        <f t="shared" si="0"/>
        <v>568512</v>
      </c>
      <c r="H18" s="703" t="s">
        <v>1196</v>
      </c>
      <c r="I18" s="324"/>
      <c r="J18" s="324"/>
      <c r="K18" s="324"/>
    </row>
    <row r="19" spans="1:12" ht="16.5">
      <c r="A19" s="304">
        <v>12</v>
      </c>
      <c r="B19" s="316"/>
      <c r="C19" s="310" t="s">
        <v>657</v>
      </c>
      <c r="D19" s="318" t="str">
        <f>+VLOOKUP(C19,ITEMS!A$4:C$101,2,0)</f>
        <v>m</v>
      </c>
      <c r="E19" s="326">
        <v>65</v>
      </c>
      <c r="F19" s="319">
        <f>+VLOOKUP(C19,ITEMS!A$4:D$101,3,0)</f>
        <v>7935</v>
      </c>
      <c r="G19" s="630">
        <f t="shared" si="0"/>
        <v>515775</v>
      </c>
      <c r="H19" s="703" t="s">
        <v>1202</v>
      </c>
      <c r="I19" s="324"/>
      <c r="J19" s="324"/>
      <c r="K19" s="324"/>
    </row>
    <row r="20" spans="1:12" ht="28.5">
      <c r="A20" s="308">
        <v>13</v>
      </c>
      <c r="B20" s="326"/>
      <c r="C20" s="438" t="s">
        <v>914</v>
      </c>
      <c r="D20" s="318" t="str">
        <f>+VLOOKUP(C20,ITEMS!A$4:C$101,2,0)</f>
        <v>m</v>
      </c>
      <c r="E20" s="326">
        <v>0</v>
      </c>
      <c r="F20" s="319">
        <f>+VLOOKUP(C20,ITEMS!A$4:D$101,3,0)</f>
        <v>23805</v>
      </c>
      <c r="G20" s="630">
        <f t="shared" si="0"/>
        <v>0</v>
      </c>
      <c r="H20" s="703"/>
      <c r="I20" s="324"/>
      <c r="J20" s="324"/>
      <c r="K20" s="324"/>
    </row>
    <row r="21" spans="1:12" ht="28.5">
      <c r="A21" s="304">
        <v>14</v>
      </c>
      <c r="B21" s="316" t="s">
        <v>943</v>
      </c>
      <c r="C21" s="317" t="s">
        <v>697</v>
      </c>
      <c r="D21" s="320" t="str">
        <f>+VLOOKUP(C21,ITEMS!A$4:C$101,2,0)</f>
        <v>Un</v>
      </c>
      <c r="E21" s="421">
        <v>3</v>
      </c>
      <c r="F21" s="315">
        <f>+VLOOKUP(C21,ITEMS!A$4:D$101,3,0)</f>
        <v>752387</v>
      </c>
      <c r="G21" s="702">
        <f t="shared" si="0"/>
        <v>2257161</v>
      </c>
      <c r="H21" s="703" t="s">
        <v>1203</v>
      </c>
      <c r="I21" s="324"/>
      <c r="J21" s="324"/>
      <c r="K21" s="324"/>
    </row>
    <row r="22" spans="1:12" ht="28.5">
      <c r="A22" s="304">
        <v>15</v>
      </c>
      <c r="B22" s="316" t="s">
        <v>944</v>
      </c>
      <c r="C22" s="317" t="s">
        <v>717</v>
      </c>
      <c r="D22" s="320" t="str">
        <f>+VLOOKUP(C22,ITEMS!A$4:C$101,2,0)</f>
        <v>Un</v>
      </c>
      <c r="E22" s="421">
        <v>0</v>
      </c>
      <c r="F22" s="315">
        <f>+VLOOKUP(C22,ITEMS!A$4:D$101,3,0)</f>
        <v>339483</v>
      </c>
      <c r="G22" s="702">
        <f t="shared" si="0"/>
        <v>0</v>
      </c>
      <c r="H22" s="703"/>
      <c r="I22" s="324"/>
      <c r="J22" s="324"/>
      <c r="K22" s="324"/>
    </row>
    <row r="23" spans="1:12" ht="31.5" customHeight="1">
      <c r="A23" s="308">
        <v>16</v>
      </c>
      <c r="B23" s="316" t="s">
        <v>944</v>
      </c>
      <c r="C23" s="317" t="s">
        <v>716</v>
      </c>
      <c r="D23" s="320" t="str">
        <f>+VLOOKUP(C23,ITEMS!A$4:C$101,2,0)</f>
        <v>Un</v>
      </c>
      <c r="E23" s="421">
        <v>3</v>
      </c>
      <c r="F23" s="315">
        <f>+VLOOKUP(C23,ITEMS!A$4:D$101,3,0)</f>
        <v>1107456</v>
      </c>
      <c r="G23" s="702">
        <f t="shared" si="0"/>
        <v>3322368</v>
      </c>
      <c r="H23" s="703" t="s">
        <v>1203</v>
      </c>
      <c r="I23" s="324"/>
      <c r="J23" s="324"/>
      <c r="K23" s="324"/>
    </row>
    <row r="24" spans="1:12" ht="16.5">
      <c r="A24" s="304">
        <v>17</v>
      </c>
      <c r="B24" s="369"/>
      <c r="C24" s="310" t="s">
        <v>663</v>
      </c>
      <c r="D24" s="320" t="str">
        <f>+VLOOKUP(C24,ITEMS!A$4:C$101,2,0)</f>
        <v>Un</v>
      </c>
      <c r="E24" s="420">
        <v>1</v>
      </c>
      <c r="F24" s="315">
        <f>+VLOOKUP(C24,ITEMS!A$4:D$101,3,0)</f>
        <v>721080</v>
      </c>
      <c r="G24" s="702">
        <f t="shared" si="0"/>
        <v>721080</v>
      </c>
      <c r="H24" s="703"/>
      <c r="I24" s="324"/>
      <c r="J24" s="324"/>
      <c r="K24" s="324"/>
    </row>
    <row r="25" spans="1:12" ht="16.5">
      <c r="A25" s="322"/>
      <c r="B25" s="316"/>
      <c r="C25" s="317"/>
      <c r="D25" s="318"/>
      <c r="E25" s="326"/>
      <c r="F25" s="319"/>
      <c r="G25" s="630"/>
      <c r="H25" s="703"/>
    </row>
    <row r="26" spans="1:12" ht="16.5">
      <c r="A26" s="336"/>
      <c r="B26" s="348"/>
      <c r="C26" s="349" t="s">
        <v>719</v>
      </c>
      <c r="D26" s="350"/>
      <c r="E26" s="350"/>
      <c r="F26" s="348"/>
      <c r="G26" s="631">
        <f>SUM(G8:G25)</f>
        <v>78007615</v>
      </c>
      <c r="H26" s="703"/>
    </row>
    <row r="27" spans="1:12" ht="16.5">
      <c r="A27" s="351"/>
      <c r="B27" s="352"/>
      <c r="C27" s="353"/>
      <c r="D27" s="354"/>
      <c r="E27" s="354"/>
      <c r="F27" s="352"/>
      <c r="G27" s="355"/>
    </row>
    <row r="45" spans="2:10">
      <c r="J45" t="s">
        <v>1148</v>
      </c>
    </row>
    <row r="47" spans="2:10">
      <c r="B47" s="633"/>
    </row>
    <row r="48" spans="2:10">
      <c r="D48" s="633"/>
    </row>
    <row r="50" spans="1:8" ht="15">
      <c r="A50" s="696"/>
      <c r="B50" s="696"/>
      <c r="C50" s="697" t="s">
        <v>1184</v>
      </c>
      <c r="D50" s="696"/>
      <c r="E50" s="696"/>
      <c r="F50" s="696"/>
      <c r="G50" s="704"/>
      <c r="H50" s="477"/>
    </row>
    <row r="51" spans="1:8" ht="15">
      <c r="A51" s="696"/>
      <c r="B51" s="696"/>
      <c r="C51" s="697" t="s">
        <v>1194</v>
      </c>
      <c r="D51" s="696"/>
      <c r="E51" s="696"/>
      <c r="F51" s="696"/>
      <c r="G51" s="704"/>
      <c r="H51" s="477"/>
    </row>
    <row r="52" spans="1:8" ht="15">
      <c r="A52" s="698" t="s">
        <v>593</v>
      </c>
      <c r="B52" s="693"/>
      <c r="C52" s="698" t="s">
        <v>594</v>
      </c>
      <c r="D52" s="698" t="s">
        <v>630</v>
      </c>
      <c r="E52" s="698" t="s">
        <v>771</v>
      </c>
      <c r="F52" s="346" t="s">
        <v>655</v>
      </c>
      <c r="G52" s="626" t="s">
        <v>610</v>
      </c>
      <c r="H52" s="689" t="s">
        <v>1137</v>
      </c>
    </row>
    <row r="53" spans="1:8" ht="30">
      <c r="A53" s="682">
        <v>1</v>
      </c>
      <c r="B53" s="658"/>
      <c r="C53" s="690" t="s">
        <v>1182</v>
      </c>
      <c r="D53" s="691" t="s">
        <v>969</v>
      </c>
      <c r="E53" s="692">
        <v>116</v>
      </c>
      <c r="F53" s="694">
        <f>+'BT-AP-TEL'!$F$8</f>
        <v>20150</v>
      </c>
      <c r="G53" s="695">
        <f>+E53*F53</f>
        <v>2337400</v>
      </c>
      <c r="H53" s="689"/>
    </row>
    <row r="54" spans="1:8" ht="30">
      <c r="A54" s="682">
        <v>2</v>
      </c>
      <c r="B54" s="658"/>
      <c r="C54" s="690" t="s">
        <v>1180</v>
      </c>
      <c r="D54" s="691" t="s">
        <v>969</v>
      </c>
      <c r="E54" s="692">
        <v>75</v>
      </c>
      <c r="F54" s="694">
        <f>+'BT-AP-TEL'!$F$19</f>
        <v>97451</v>
      </c>
      <c r="G54" s="695">
        <f t="shared" ref="G54:G57" si="1">+E54*F54</f>
        <v>7308825</v>
      </c>
      <c r="H54" s="693"/>
    </row>
    <row r="55" spans="1:8" ht="30">
      <c r="A55" s="682">
        <v>3</v>
      </c>
      <c r="B55" s="658"/>
      <c r="C55" s="690" t="s">
        <v>1181</v>
      </c>
      <c r="D55" s="691" t="s">
        <v>969</v>
      </c>
      <c r="E55" s="692">
        <v>6</v>
      </c>
      <c r="F55" s="694">
        <f>+'BT-AP-TEL'!$F$27</f>
        <v>85167</v>
      </c>
      <c r="G55" s="695">
        <f t="shared" si="1"/>
        <v>511002</v>
      </c>
      <c r="H55" s="693"/>
    </row>
    <row r="56" spans="1:8" ht="30">
      <c r="A56" s="682">
        <v>4</v>
      </c>
      <c r="B56" s="658"/>
      <c r="C56" s="690" t="s">
        <v>1183</v>
      </c>
      <c r="D56" s="691" t="s">
        <v>8</v>
      </c>
      <c r="E56" s="692">
        <v>6</v>
      </c>
      <c r="F56" s="694">
        <f>+'BT-AP-TEL'!$F$34</f>
        <v>795107</v>
      </c>
      <c r="G56" s="695">
        <f t="shared" si="1"/>
        <v>4770642</v>
      </c>
      <c r="H56" s="693"/>
    </row>
    <row r="57" spans="1:8" ht="60">
      <c r="A57" s="682">
        <v>5</v>
      </c>
      <c r="B57" s="658"/>
      <c r="C57" s="690" t="s">
        <v>1179</v>
      </c>
      <c r="D57" s="691" t="s">
        <v>8</v>
      </c>
      <c r="E57" s="692">
        <v>116</v>
      </c>
      <c r="F57" s="694">
        <f>+'BT-AP-TEL'!$F$46</f>
        <v>26243</v>
      </c>
      <c r="G57" s="695">
        <f t="shared" si="1"/>
        <v>3044188</v>
      </c>
      <c r="H57" s="693"/>
    </row>
  </sheetData>
  <mergeCells count="5">
    <mergeCell ref="A1:G2"/>
    <mergeCell ref="A3:G3"/>
    <mergeCell ref="A4:B4"/>
    <mergeCell ref="C4:G4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F29"/>
  <sheetViews>
    <sheetView topLeftCell="A12" zoomScaleNormal="100" workbookViewId="0">
      <selection activeCell="D12" sqref="D12"/>
    </sheetView>
  </sheetViews>
  <sheetFormatPr baseColWidth="10" defaultColWidth="8" defaultRowHeight="12.75" customHeight="1"/>
  <cols>
    <col min="1" max="1" width="6.25" style="45" customWidth="1"/>
    <col min="2" max="2" width="61.875" style="4" customWidth="1"/>
    <col min="3" max="3" width="7.5" style="45" customWidth="1"/>
    <col min="4" max="4" width="9.625" style="44" customWidth="1"/>
    <col min="5" max="5" width="11.875" style="4" customWidth="1"/>
    <col min="6" max="6" width="10.875" style="4" customWidth="1"/>
    <col min="7" max="7" width="36.625" style="4" customWidth="1"/>
    <col min="8" max="16384" width="8" style="4"/>
  </cols>
  <sheetData>
    <row r="1" spans="1:6" hidden="1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</row>
    <row r="2" spans="1:6" ht="12.75" hidden="1" customHeight="1">
      <c r="A2" s="5" t="s">
        <v>6</v>
      </c>
      <c r="B2" s="6" t="s">
        <v>7</v>
      </c>
      <c r="C2" s="7" t="s">
        <v>8</v>
      </c>
      <c r="D2" s="8">
        <v>0</v>
      </c>
      <c r="E2" s="8">
        <f>+'[1]UNITARIOS ELECTRICOS COTIZACION'!B25</f>
        <v>446200</v>
      </c>
      <c r="F2" s="9">
        <f>ROUND((D2*E2),0)</f>
        <v>0</v>
      </c>
    </row>
    <row r="3" spans="1:6" s="12" customFormat="1" hidden="1">
      <c r="A3" s="5" t="s">
        <v>9</v>
      </c>
      <c r="B3" s="10" t="s">
        <v>10</v>
      </c>
      <c r="C3" s="7" t="s">
        <v>8</v>
      </c>
      <c r="D3" s="11">
        <v>0</v>
      </c>
      <c r="E3" s="11">
        <f>+'[1]UNITARIOS ELECTRICOS COTIZACION'!B30</f>
        <v>480590</v>
      </c>
      <c r="F3" s="9">
        <f>ROUND((D3*E3),0)</f>
        <v>0</v>
      </c>
    </row>
    <row r="4" spans="1:6" ht="12.75" hidden="1" customHeight="1">
      <c r="A4" s="13" t="s">
        <v>11</v>
      </c>
      <c r="B4" s="14" t="s">
        <v>12</v>
      </c>
      <c r="C4" s="15" t="s">
        <v>11</v>
      </c>
      <c r="D4" s="16" t="s">
        <v>11</v>
      </c>
      <c r="E4" s="17" t="s">
        <v>11</v>
      </c>
      <c r="F4" s="18">
        <f>SUM(F2:F3)</f>
        <v>0</v>
      </c>
    </row>
    <row r="5" spans="1:6" s="12" customFormat="1" hidden="1">
      <c r="A5" s="19"/>
      <c r="B5" s="20"/>
      <c r="C5" s="21"/>
      <c r="D5" s="22"/>
      <c r="E5" s="22"/>
      <c r="F5" s="23"/>
    </row>
    <row r="6" spans="1:6">
      <c r="A6" s="24" t="s">
        <v>0</v>
      </c>
      <c r="B6" s="25" t="s">
        <v>13</v>
      </c>
      <c r="C6" s="24" t="s">
        <v>2</v>
      </c>
      <c r="D6" s="26" t="s">
        <v>3</v>
      </c>
      <c r="E6" s="24" t="s">
        <v>4</v>
      </c>
      <c r="F6" s="24" t="s">
        <v>5</v>
      </c>
    </row>
    <row r="7" spans="1:6">
      <c r="A7" s="27" t="s">
        <v>14</v>
      </c>
      <c r="B7" s="6" t="s">
        <v>15</v>
      </c>
      <c r="C7" s="27" t="s">
        <v>8</v>
      </c>
      <c r="D7" s="28">
        <v>1</v>
      </c>
      <c r="E7" s="28">
        <v>467250</v>
      </c>
      <c r="F7" s="28">
        <f t="shared" ref="F7:F17" si="0">+D7*E7</f>
        <v>467250</v>
      </c>
    </row>
    <row r="8" spans="1:6">
      <c r="A8" s="27" t="s">
        <v>16</v>
      </c>
      <c r="B8" s="29" t="s">
        <v>17</v>
      </c>
      <c r="C8" s="30" t="s">
        <v>18</v>
      </c>
      <c r="D8" s="31">
        <v>30</v>
      </c>
      <c r="E8" s="31">
        <v>10095</v>
      </c>
      <c r="F8" s="31">
        <f t="shared" si="0"/>
        <v>302850</v>
      </c>
    </row>
    <row r="9" spans="1:6">
      <c r="A9" s="27" t="s">
        <v>19</v>
      </c>
      <c r="B9" s="6" t="s">
        <v>20</v>
      </c>
      <c r="C9" s="27" t="s">
        <v>8</v>
      </c>
      <c r="D9" s="28">
        <v>1</v>
      </c>
      <c r="E9" s="28">
        <v>1407000</v>
      </c>
      <c r="F9" s="28">
        <f>+D9*E9</f>
        <v>1407000</v>
      </c>
    </row>
    <row r="10" spans="1:6">
      <c r="A10" s="27" t="s">
        <v>21</v>
      </c>
      <c r="B10" s="6" t="s">
        <v>22</v>
      </c>
      <c r="C10" s="27" t="s">
        <v>8</v>
      </c>
      <c r="D10" s="28">
        <v>1</v>
      </c>
      <c r="E10" s="28">
        <v>762550</v>
      </c>
      <c r="F10" s="28">
        <f>+D10*E10</f>
        <v>762550</v>
      </c>
    </row>
    <row r="11" spans="1:6">
      <c r="A11" s="27" t="s">
        <v>23</v>
      </c>
      <c r="B11" s="6" t="s">
        <v>24</v>
      </c>
      <c r="C11" s="27" t="s">
        <v>8</v>
      </c>
      <c r="D11" s="28">
        <v>1</v>
      </c>
      <c r="E11" s="28">
        <v>205960</v>
      </c>
      <c r="F11" s="28">
        <f>+D11*E11</f>
        <v>205960</v>
      </c>
    </row>
    <row r="12" spans="1:6">
      <c r="A12" s="27" t="s">
        <v>25</v>
      </c>
      <c r="B12" s="6" t="s">
        <v>26</v>
      </c>
      <c r="C12" s="27" t="s">
        <v>8</v>
      </c>
      <c r="D12" s="28">
        <v>1</v>
      </c>
      <c r="E12" s="28">
        <v>1666694</v>
      </c>
      <c r="F12" s="28">
        <f>+D12*E12</f>
        <v>1666694</v>
      </c>
    </row>
    <row r="13" spans="1:6">
      <c r="A13" s="27" t="s">
        <v>27</v>
      </c>
      <c r="B13" s="6" t="s">
        <v>28</v>
      </c>
      <c r="C13" s="27" t="s">
        <v>29</v>
      </c>
      <c r="D13" s="28">
        <v>1</v>
      </c>
      <c r="E13" s="28">
        <v>503000</v>
      </c>
      <c r="F13" s="28">
        <f t="shared" si="0"/>
        <v>503000</v>
      </c>
    </row>
    <row r="14" spans="1:6">
      <c r="A14" s="27" t="s">
        <v>30</v>
      </c>
      <c r="B14" s="6" t="s">
        <v>31</v>
      </c>
      <c r="C14" s="27" t="s">
        <v>8</v>
      </c>
      <c r="D14" s="28">
        <v>1</v>
      </c>
      <c r="E14" s="28">
        <v>565400</v>
      </c>
      <c r="F14" s="28">
        <f t="shared" si="0"/>
        <v>565400</v>
      </c>
    </row>
    <row r="15" spans="1:6">
      <c r="A15" s="27" t="s">
        <v>32</v>
      </c>
      <c r="B15" s="29" t="s">
        <v>33</v>
      </c>
      <c r="C15" s="30" t="s">
        <v>18</v>
      </c>
      <c r="D15" s="31">
        <v>12</v>
      </c>
      <c r="E15" s="31">
        <v>42650</v>
      </c>
      <c r="F15" s="31">
        <f t="shared" si="0"/>
        <v>511800</v>
      </c>
    </row>
    <row r="16" spans="1:6">
      <c r="A16" s="27" t="s">
        <v>34</v>
      </c>
      <c r="B16" s="29" t="s">
        <v>35</v>
      </c>
      <c r="C16" s="30" t="s">
        <v>18</v>
      </c>
      <c r="D16" s="31">
        <v>40</v>
      </c>
      <c r="E16" s="31">
        <v>125504</v>
      </c>
      <c r="F16" s="31">
        <f t="shared" si="0"/>
        <v>5020160</v>
      </c>
    </row>
    <row r="17" spans="1:6" s="35" customFormat="1" ht="25.5">
      <c r="A17" s="27" t="s">
        <v>36</v>
      </c>
      <c r="B17" s="32" t="s">
        <v>37</v>
      </c>
      <c r="C17" s="33" t="s">
        <v>8</v>
      </c>
      <c r="D17" s="34">
        <v>1</v>
      </c>
      <c r="E17" s="34">
        <v>850000</v>
      </c>
      <c r="F17" s="34">
        <f t="shared" si="0"/>
        <v>850000</v>
      </c>
    </row>
    <row r="18" spans="1:6" s="12" customFormat="1">
      <c r="A18" s="27" t="s">
        <v>38</v>
      </c>
      <c r="B18" s="10" t="s">
        <v>39</v>
      </c>
      <c r="C18" s="7" t="s">
        <v>8</v>
      </c>
      <c r="D18" s="11">
        <v>1</v>
      </c>
      <c r="E18" s="11">
        <v>2528750</v>
      </c>
      <c r="F18" s="9">
        <f>ROUND((D18*E18),0)</f>
        <v>2528750</v>
      </c>
    </row>
    <row r="19" spans="1:6" s="12" customFormat="1">
      <c r="A19" s="13" t="s">
        <v>11</v>
      </c>
      <c r="B19" s="36" t="s">
        <v>40</v>
      </c>
      <c r="C19" s="37" t="s">
        <v>11</v>
      </c>
      <c r="D19" s="38" t="s">
        <v>11</v>
      </c>
      <c r="E19" s="39" t="s">
        <v>11</v>
      </c>
      <c r="F19" s="40">
        <f>SUM(F7:F18)</f>
        <v>14791414</v>
      </c>
    </row>
    <row r="21" spans="1:6" ht="15">
      <c r="B21" s="845" t="s">
        <v>53</v>
      </c>
      <c r="C21" s="845"/>
      <c r="D21" s="845"/>
      <c r="E21" s="46">
        <v>0.12</v>
      </c>
      <c r="F21" s="47">
        <f>+F19*E21</f>
        <v>1774969.68</v>
      </c>
    </row>
    <row r="22" spans="1:6" ht="15">
      <c r="B22" s="845" t="s">
        <v>54</v>
      </c>
      <c r="C22" s="845"/>
      <c r="D22" s="845"/>
      <c r="E22" s="46">
        <v>0.02</v>
      </c>
      <c r="F22" s="47">
        <f>+F19*E22</f>
        <v>295828.28000000003</v>
      </c>
    </row>
    <row r="23" spans="1:6" ht="15">
      <c r="B23" s="845" t="s">
        <v>55</v>
      </c>
      <c r="C23" s="845"/>
      <c r="D23" s="845"/>
      <c r="E23" s="46">
        <v>0.08</v>
      </c>
      <c r="F23" s="47">
        <f>+F19*E23</f>
        <v>1183313.1200000001</v>
      </c>
    </row>
    <row r="24" spans="1:6" ht="15">
      <c r="B24" s="845" t="s">
        <v>56</v>
      </c>
      <c r="C24" s="845"/>
      <c r="D24" s="845"/>
      <c r="E24" s="46">
        <v>0.19</v>
      </c>
      <c r="F24" s="47">
        <f>+F23*E24</f>
        <v>224829.49280000004</v>
      </c>
    </row>
    <row r="25" spans="1:6" ht="15">
      <c r="B25" s="845" t="s">
        <v>57</v>
      </c>
      <c r="C25" s="845"/>
      <c r="D25" s="845"/>
      <c r="E25" s="845"/>
      <c r="F25" s="47">
        <f>SUM(F19:F24)</f>
        <v>18270354.572800003</v>
      </c>
    </row>
    <row r="27" spans="1:6" ht="12.75" customHeight="1">
      <c r="B27" s="51" t="s">
        <v>58</v>
      </c>
      <c r="C27" s="52"/>
      <c r="D27" s="53"/>
      <c r="E27" s="54"/>
      <c r="F27" s="55"/>
    </row>
    <row r="28" spans="1:6" ht="12.75" customHeight="1">
      <c r="B28" s="56" t="s">
        <v>59</v>
      </c>
      <c r="C28" s="48"/>
      <c r="D28" s="49"/>
      <c r="E28" s="50"/>
      <c r="F28" s="57"/>
    </row>
    <row r="29" spans="1:6" ht="12.75" customHeight="1">
      <c r="B29" s="58" t="s">
        <v>60</v>
      </c>
      <c r="C29" s="59"/>
      <c r="D29" s="60"/>
      <c r="E29" s="61"/>
      <c r="F29" s="62"/>
    </row>
  </sheetData>
  <mergeCells count="5">
    <mergeCell ref="B21:D21"/>
    <mergeCell ref="B22:D22"/>
    <mergeCell ref="B23:D23"/>
    <mergeCell ref="B24:D24"/>
    <mergeCell ref="B25:E25"/>
  </mergeCells>
  <printOptions horizontalCentered="1"/>
  <pageMargins left="0.74803149606299213" right="0.74803149606299213" top="1.5354330708661419" bottom="0.98425196850393704" header="0.70866141732283472" footer="0.51181102362204722"/>
  <pageSetup scale="75" orientation="portrait" horizontalDpi="300" verticalDpi="300" r:id="rId1"/>
  <headerFooter>
    <oddHeader>&amp;C&amp;"Arial,Negrita"
PROYECTO CONJUNTO LA QUINTA (TORRE 1)
TRUJILLO GUTIERREZ &amp; ASOCS.
PRESUPUESTO DE OBRA ELECTRICA ESTIMADO
(Mayo de 2017)</oddHeader>
    <oddFooter>&amp;C&amp;P de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H49"/>
  <sheetViews>
    <sheetView topLeftCell="A43" workbookViewId="0">
      <selection activeCell="A10" sqref="A10"/>
    </sheetView>
  </sheetViews>
  <sheetFormatPr baseColWidth="10" defaultRowHeight="14.25"/>
  <cols>
    <col min="1" max="1" width="69" bestFit="1" customWidth="1"/>
    <col min="2" max="2" width="11.25" customWidth="1"/>
    <col min="3" max="3" width="12.875" bestFit="1" customWidth="1"/>
  </cols>
  <sheetData>
    <row r="2" spans="1:5" ht="20.100000000000001" customHeight="1">
      <c r="A2" s="356" t="s">
        <v>720</v>
      </c>
      <c r="B2" s="357"/>
      <c r="C2" s="357"/>
    </row>
    <row r="3" spans="1:5" ht="20.100000000000001" customHeight="1">
      <c r="A3" s="300" t="s">
        <v>605</v>
      </c>
      <c r="B3" s="300" t="s">
        <v>630</v>
      </c>
      <c r="C3" s="300" t="s">
        <v>631</v>
      </c>
    </row>
    <row r="4" spans="1:5" ht="26.1" customHeight="1">
      <c r="A4" s="440" t="s">
        <v>615</v>
      </c>
      <c r="B4" s="516" t="s">
        <v>8</v>
      </c>
      <c r="C4" s="517">
        <f>+'APUs '!E23</f>
        <v>1936677</v>
      </c>
      <c r="D4" s="324" t="s">
        <v>1091</v>
      </c>
      <c r="E4" s="324"/>
    </row>
    <row r="5" spans="1:5" ht="45">
      <c r="A5" s="440" t="s">
        <v>1090</v>
      </c>
      <c r="B5" s="516" t="s">
        <v>8</v>
      </c>
      <c r="C5" s="518">
        <f>+'APUs '!E36</f>
        <v>3092862</v>
      </c>
      <c r="D5" s="324"/>
      <c r="E5" s="324"/>
    </row>
    <row r="6" spans="1:5" ht="26.1" customHeight="1">
      <c r="A6" s="440" t="s">
        <v>612</v>
      </c>
      <c r="B6" s="516" t="s">
        <v>8</v>
      </c>
      <c r="C6" s="517">
        <f>+'APUs '!E52</f>
        <v>524196</v>
      </c>
      <c r="D6" s="324"/>
      <c r="E6" s="324"/>
    </row>
    <row r="7" spans="1:5" ht="26.1" customHeight="1">
      <c r="A7" s="440" t="s">
        <v>628</v>
      </c>
      <c r="B7" s="516" t="s">
        <v>8</v>
      </c>
      <c r="C7" s="517">
        <f>+'APUs '!E73</f>
        <v>968212</v>
      </c>
    </row>
    <row r="8" spans="1:5" ht="26.1" customHeight="1">
      <c r="A8" s="519" t="s">
        <v>805</v>
      </c>
      <c r="B8" s="516" t="s">
        <v>8</v>
      </c>
      <c r="C8" s="517">
        <f>+'APUs '!E93</f>
        <v>2176709</v>
      </c>
    </row>
    <row r="9" spans="1:5" ht="26.1" customHeight="1">
      <c r="A9" s="440" t="s">
        <v>681</v>
      </c>
      <c r="B9" s="516" t="s">
        <v>614</v>
      </c>
      <c r="C9" s="517">
        <f>+'APUs '!E115</f>
        <v>371864</v>
      </c>
    </row>
    <row r="10" spans="1:5" ht="26.1" customHeight="1">
      <c r="A10" s="440" t="s">
        <v>682</v>
      </c>
      <c r="B10" s="520" t="s">
        <v>614</v>
      </c>
      <c r="C10" s="521">
        <f>+'APUs '!E137</f>
        <v>448214</v>
      </c>
    </row>
    <row r="11" spans="1:5" ht="26.1" customHeight="1">
      <c r="A11" s="440" t="s">
        <v>684</v>
      </c>
      <c r="B11" s="520" t="s">
        <v>614</v>
      </c>
      <c r="C11" s="521">
        <f>+'APUs '!E160</f>
        <v>709513</v>
      </c>
    </row>
    <row r="12" spans="1:5" ht="26.1" customHeight="1">
      <c r="A12" s="440" t="s">
        <v>833</v>
      </c>
      <c r="B12" s="516" t="s">
        <v>614</v>
      </c>
      <c r="C12" s="517">
        <f>+'APUs '!E173</f>
        <v>101944</v>
      </c>
    </row>
    <row r="13" spans="1:5" ht="26.1" customHeight="1">
      <c r="A13" s="275" t="s">
        <v>636</v>
      </c>
      <c r="B13" s="301" t="s">
        <v>8</v>
      </c>
      <c r="C13" s="302">
        <f>+'APUs '!E190</f>
        <v>775107</v>
      </c>
    </row>
    <row r="14" spans="1:5" ht="26.1" customHeight="1">
      <c r="A14" s="275" t="s">
        <v>629</v>
      </c>
      <c r="B14" s="301" t="s">
        <v>8</v>
      </c>
      <c r="C14" s="302">
        <f>+'APUs '!E208</f>
        <v>461792</v>
      </c>
    </row>
    <row r="15" spans="1:5" ht="26.1" customHeight="1">
      <c r="A15" s="275" t="s">
        <v>666</v>
      </c>
      <c r="B15" s="301" t="s">
        <v>8</v>
      </c>
      <c r="C15" s="303">
        <f>+'APUs '!E221</f>
        <v>130900</v>
      </c>
    </row>
    <row r="16" spans="1:5" ht="26.1" customHeight="1">
      <c r="A16" s="275" t="s">
        <v>657</v>
      </c>
      <c r="B16" s="301" t="s">
        <v>614</v>
      </c>
      <c r="C16" s="303">
        <f>+'APUs '!E235</f>
        <v>7935</v>
      </c>
    </row>
    <row r="17" spans="1:4" ht="26.1" customHeight="1">
      <c r="A17" s="427" t="s">
        <v>914</v>
      </c>
      <c r="B17" s="301" t="s">
        <v>614</v>
      </c>
      <c r="C17" s="437">
        <f>+'APUs '!E248</f>
        <v>23805</v>
      </c>
    </row>
    <row r="18" spans="1:4" ht="23.25" customHeight="1">
      <c r="A18" s="427" t="s">
        <v>659</v>
      </c>
      <c r="B18" s="301" t="s">
        <v>8</v>
      </c>
      <c r="C18" s="303">
        <f>+'APUs '!E263</f>
        <v>1190000</v>
      </c>
    </row>
    <row r="19" spans="1:4" ht="30">
      <c r="A19" s="427" t="s">
        <v>661</v>
      </c>
      <c r="B19" s="301" t="s">
        <v>8</v>
      </c>
      <c r="C19" s="303">
        <f>+'APUs '!E276</f>
        <v>1368500</v>
      </c>
    </row>
    <row r="20" spans="1:4" ht="26.1" customHeight="1">
      <c r="A20" s="275" t="s">
        <v>665</v>
      </c>
      <c r="B20" s="301" t="s">
        <v>8</v>
      </c>
      <c r="C20" s="303">
        <f>+'APUs '!E290</f>
        <v>1157772</v>
      </c>
    </row>
    <row r="21" spans="1:4" ht="26.1" customHeight="1">
      <c r="A21" s="275" t="s">
        <v>664</v>
      </c>
      <c r="B21" s="301" t="s">
        <v>8</v>
      </c>
      <c r="C21" s="303">
        <f>+'APUs '!E304</f>
        <v>1027474</v>
      </c>
    </row>
    <row r="22" spans="1:4" ht="26.1" customHeight="1">
      <c r="A22" s="440" t="s">
        <v>697</v>
      </c>
      <c r="B22" s="516" t="s">
        <v>8</v>
      </c>
      <c r="C22" s="521">
        <f>+'APUs '!E327</f>
        <v>752387</v>
      </c>
      <c r="D22" t="s">
        <v>993</v>
      </c>
    </row>
    <row r="23" spans="1:4" ht="26.1" customHeight="1">
      <c r="A23" s="440" t="s">
        <v>942</v>
      </c>
      <c r="B23" s="522" t="s">
        <v>8</v>
      </c>
      <c r="C23" s="518">
        <f>+'APUs '!E372</f>
        <v>256564</v>
      </c>
    </row>
    <row r="24" spans="1:4" ht="26.1" customHeight="1">
      <c r="A24" s="440" t="s">
        <v>689</v>
      </c>
      <c r="B24" s="516" t="s">
        <v>8</v>
      </c>
      <c r="C24" s="521">
        <f>+'APUs '!E392</f>
        <v>1097114</v>
      </c>
    </row>
    <row r="25" spans="1:4" ht="30">
      <c r="A25" s="440" t="s">
        <v>703</v>
      </c>
      <c r="B25" s="523" t="s">
        <v>8</v>
      </c>
      <c r="C25" s="524">
        <f>+'APUs '!E412</f>
        <v>300630</v>
      </c>
    </row>
    <row r="26" spans="1:4" ht="15">
      <c r="A26" s="440" t="s">
        <v>716</v>
      </c>
      <c r="B26" s="523" t="s">
        <v>8</v>
      </c>
      <c r="C26" s="525">
        <f>+'APUs '!E434</f>
        <v>1107456</v>
      </c>
    </row>
    <row r="27" spans="1:4" ht="30">
      <c r="A27" s="440" t="s">
        <v>717</v>
      </c>
      <c r="B27" s="523" t="s">
        <v>8</v>
      </c>
      <c r="C27" s="525">
        <f>+'APUs '!E455</f>
        <v>339483</v>
      </c>
    </row>
    <row r="28" spans="1:4" ht="26.1" customHeight="1">
      <c r="A28" s="440" t="s">
        <v>668</v>
      </c>
      <c r="B28" s="516" t="s">
        <v>8</v>
      </c>
      <c r="C28" s="521">
        <f>+'APUs '!E353</f>
        <v>284256</v>
      </c>
    </row>
    <row r="29" spans="1:4" ht="26.1" customHeight="1">
      <c r="A29" s="526" t="s">
        <v>723</v>
      </c>
      <c r="B29" s="516" t="s">
        <v>8</v>
      </c>
      <c r="C29" s="525">
        <f>+'APUs '!E468</f>
        <v>130900</v>
      </c>
    </row>
    <row r="30" spans="1:4" ht="26.1" customHeight="1">
      <c r="A30" s="526" t="s">
        <v>724</v>
      </c>
      <c r="B30" s="516" t="s">
        <v>8</v>
      </c>
      <c r="C30" s="525">
        <f>+'APUs '!E482</f>
        <v>5290</v>
      </c>
    </row>
    <row r="31" spans="1:4" ht="26.1" customHeight="1">
      <c r="A31" s="440" t="s">
        <v>663</v>
      </c>
      <c r="B31" s="516" t="s">
        <v>8</v>
      </c>
      <c r="C31" s="521">
        <f>+'APUs '!E340</f>
        <v>721080</v>
      </c>
    </row>
    <row r="32" spans="1:4" ht="30">
      <c r="A32" s="527" t="s">
        <v>834</v>
      </c>
      <c r="B32" s="516" t="s">
        <v>8</v>
      </c>
      <c r="C32" s="521">
        <f>+'APUs '!E704</f>
        <v>238570</v>
      </c>
    </row>
    <row r="33" spans="1:8" ht="15">
      <c r="A33" s="356" t="s">
        <v>732</v>
      </c>
      <c r="B33" s="357"/>
      <c r="C33" s="357"/>
    </row>
    <row r="34" spans="1:8" ht="26.1" customHeight="1">
      <c r="A34" s="275" t="s">
        <v>728</v>
      </c>
      <c r="B34" s="301" t="s">
        <v>8</v>
      </c>
      <c r="C34" s="303">
        <f>+'APUs '!E496</f>
        <v>244296</v>
      </c>
    </row>
    <row r="35" spans="1:8" ht="30">
      <c r="A35" s="275" t="s">
        <v>1173</v>
      </c>
      <c r="B35" s="301" t="s">
        <v>614</v>
      </c>
      <c r="C35" s="303">
        <f>+'APUs '!E509</f>
        <v>7935</v>
      </c>
    </row>
    <row r="36" spans="1:8" ht="30">
      <c r="A36" s="275" t="s">
        <v>1154</v>
      </c>
      <c r="B36" s="301" t="s">
        <v>8</v>
      </c>
      <c r="C36" s="303">
        <f>+'APUs '!E540</f>
        <v>1994433</v>
      </c>
      <c r="D36" t="s">
        <v>1153</v>
      </c>
    </row>
    <row r="37" spans="1:8" ht="30">
      <c r="A37" s="275" t="s">
        <v>757</v>
      </c>
      <c r="B37" s="301" t="s">
        <v>8</v>
      </c>
      <c r="C37" s="303">
        <f>+'APUs '!E570</f>
        <v>473263</v>
      </c>
    </row>
    <row r="38" spans="1:8" ht="30">
      <c r="A38" s="275" t="s">
        <v>766</v>
      </c>
      <c r="B38" s="301" t="s">
        <v>8</v>
      </c>
      <c r="C38" s="303">
        <f>+'APUs '!E602</f>
        <v>507107</v>
      </c>
    </row>
    <row r="39" spans="1:8" ht="26.1" customHeight="1">
      <c r="A39" s="373" t="s">
        <v>729</v>
      </c>
      <c r="B39" s="301" t="s">
        <v>8</v>
      </c>
      <c r="C39" s="303">
        <f>+'APUs '!E665</f>
        <v>906298</v>
      </c>
    </row>
    <row r="40" spans="1:8" ht="26.1" customHeight="1">
      <c r="A40" s="275" t="s">
        <v>759</v>
      </c>
      <c r="B40" s="301" t="s">
        <v>614</v>
      </c>
      <c r="C40" s="303">
        <f>+'APUs '!E678</f>
        <v>28135</v>
      </c>
    </row>
    <row r="41" spans="1:8" ht="15">
      <c r="A41" s="375" t="s">
        <v>760</v>
      </c>
    </row>
    <row r="42" spans="1:8" ht="26.1" customHeight="1">
      <c r="A42" s="275" t="s">
        <v>761</v>
      </c>
      <c r="B42" s="301" t="s">
        <v>8</v>
      </c>
      <c r="C42" s="303">
        <f>+'APUs '!E633</f>
        <v>85167</v>
      </c>
    </row>
    <row r="43" spans="1:8" ht="26.1" customHeight="1">
      <c r="A43" s="275" t="s">
        <v>756</v>
      </c>
      <c r="B43" s="301" t="s">
        <v>8</v>
      </c>
      <c r="C43" s="303">
        <f>+'APUs '!E618</f>
        <v>170901</v>
      </c>
    </row>
    <row r="44" spans="1:8" ht="26.1" customHeight="1">
      <c r="A44" s="492" t="s">
        <v>1157</v>
      </c>
      <c r="B44" s="301" t="s">
        <v>8</v>
      </c>
      <c r="C44" s="303">
        <f>+'APUs '!E651</f>
        <v>795107</v>
      </c>
    </row>
    <row r="45" spans="1:8" ht="15">
      <c r="A45" s="375" t="s">
        <v>1159</v>
      </c>
    </row>
    <row r="46" spans="1:8" ht="26.1" customHeight="1">
      <c r="A46" s="638" t="s">
        <v>767</v>
      </c>
      <c r="B46" s="682" t="s">
        <v>8</v>
      </c>
      <c r="C46" s="303">
        <f>+'APUs '!E691</f>
        <v>244296</v>
      </c>
      <c r="E46" s="654"/>
      <c r="F46" s="654"/>
      <c r="G46" s="654"/>
      <c r="H46" s="324"/>
    </row>
    <row r="47" spans="1:8" ht="57">
      <c r="A47" s="675" t="s">
        <v>1179</v>
      </c>
      <c r="B47" s="301" t="s">
        <v>969</v>
      </c>
      <c r="C47" s="303">
        <f>+'APUs '!E717</f>
        <v>23800</v>
      </c>
      <c r="E47" s="674"/>
      <c r="F47" s="674"/>
      <c r="G47" s="674"/>
      <c r="H47" s="324"/>
    </row>
    <row r="48" spans="1:8" ht="26.1" customHeight="1">
      <c r="A48" s="374" t="s">
        <v>1163</v>
      </c>
      <c r="B48" s="301" t="s">
        <v>969</v>
      </c>
      <c r="C48" s="303">
        <v>222222</v>
      </c>
      <c r="E48" s="654"/>
      <c r="F48" s="654"/>
      <c r="G48" s="654"/>
      <c r="H48" s="324"/>
    </row>
    <row r="49" spans="1:3" ht="26.1" customHeight="1">
      <c r="A49" s="374"/>
      <c r="B49" s="301"/>
      <c r="C49" s="303"/>
    </row>
  </sheetData>
  <pageMargins left="0.7" right="0.7" top="0.75" bottom="0.75" header="0.3" footer="0.3"/>
  <pageSetup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717"/>
  <sheetViews>
    <sheetView workbookViewId="0">
      <selection activeCell="E649" sqref="E649"/>
    </sheetView>
  </sheetViews>
  <sheetFormatPr baseColWidth="10" defaultRowHeight="14.25"/>
  <cols>
    <col min="1" max="1" width="51.125" customWidth="1"/>
  </cols>
  <sheetData>
    <row r="1" spans="1:11" ht="16.5">
      <c r="A1" s="890" t="s">
        <v>615</v>
      </c>
      <c r="B1" s="890"/>
      <c r="C1" s="891"/>
      <c r="D1" s="528" t="s">
        <v>592</v>
      </c>
      <c r="E1" s="529" t="s">
        <v>8</v>
      </c>
    </row>
    <row r="2" spans="1:11" ht="37.5" customHeight="1">
      <c r="A2" s="892"/>
      <c r="B2" s="892"/>
      <c r="C2" s="893"/>
      <c r="D2" s="530" t="s">
        <v>593</v>
      </c>
      <c r="E2" s="531"/>
    </row>
    <row r="3" spans="1:11" ht="16.5">
      <c r="A3" s="285" t="s">
        <v>594</v>
      </c>
      <c r="B3" s="247" t="s">
        <v>595</v>
      </c>
      <c r="C3" s="247" t="s">
        <v>596</v>
      </c>
      <c r="D3" s="248" t="s">
        <v>597</v>
      </c>
      <c r="E3" s="249" t="s">
        <v>598</v>
      </c>
      <c r="G3" s="272" t="s">
        <v>600</v>
      </c>
      <c r="H3" s="273"/>
      <c r="I3" s="273"/>
      <c r="J3" s="273"/>
      <c r="K3" s="274">
        <v>0.1</v>
      </c>
    </row>
    <row r="4" spans="1:11" ht="16.5">
      <c r="A4" s="532" t="s">
        <v>616</v>
      </c>
      <c r="B4" s="250" t="str">
        <f>+VLOOKUP(A4,MATERIALES!$A$2:$I$245,2,0)</f>
        <v xml:space="preserve"> Un</v>
      </c>
      <c r="C4" s="296">
        <v>1</v>
      </c>
      <c r="D4" s="252">
        <f>+VLOOKUP(A4,MATERIALES!$A$2:$I$245,9,0)</f>
        <v>188201</v>
      </c>
      <c r="E4" s="251">
        <f t="shared" ref="E4:E17" si="0">+C4*D4</f>
        <v>188201</v>
      </c>
    </row>
    <row r="5" spans="1:11" ht="16.5">
      <c r="A5" s="532" t="s">
        <v>654</v>
      </c>
      <c r="B5" s="250" t="str">
        <f>+VLOOKUP(A5,MATERIALES!$A$2:$I$245,2,0)</f>
        <v>tubo</v>
      </c>
      <c r="C5" s="296">
        <v>2</v>
      </c>
      <c r="D5" s="252">
        <f>+VLOOKUP(A5,MATERIALES!$A$2:$I$245,9,0)</f>
        <v>545000</v>
      </c>
      <c r="E5" s="251">
        <f t="shared" si="0"/>
        <v>1090000</v>
      </c>
    </row>
    <row r="6" spans="1:11" ht="16.5">
      <c r="A6" s="532" t="s">
        <v>621</v>
      </c>
      <c r="B6" s="250" t="str">
        <f>+VLOOKUP(A6,MATERIALES!$A$2:$I$245,2,0)</f>
        <v xml:space="preserve"> Un</v>
      </c>
      <c r="C6" s="296">
        <v>1</v>
      </c>
      <c r="D6" s="252">
        <f>+VLOOKUP(A6,MATERIALES!$A$2:$I$245,9,0)</f>
        <v>83762</v>
      </c>
      <c r="E6" s="251">
        <f t="shared" si="0"/>
        <v>83762</v>
      </c>
    </row>
    <row r="7" spans="1:11" ht="16.5">
      <c r="A7" s="299" t="s">
        <v>653</v>
      </c>
      <c r="B7" s="250" t="str">
        <f>+VLOOKUP(A7,MATERIALES!$A$2:$I$245,2,0)</f>
        <v>tubo</v>
      </c>
      <c r="C7" s="296">
        <v>0.17</v>
      </c>
      <c r="D7" s="252">
        <f>+VLOOKUP(A7,MATERIALES!$A$2:$I$245,9,0)</f>
        <v>308146</v>
      </c>
      <c r="E7" s="251">
        <f t="shared" si="0"/>
        <v>52384.820000000007</v>
      </c>
    </row>
    <row r="8" spans="1:11" ht="16.5">
      <c r="A8" s="533" t="s">
        <v>617</v>
      </c>
      <c r="B8" s="250" t="str">
        <f>+VLOOKUP(A8,MATERIALES!$A$2:$I$245,2,0)</f>
        <v xml:space="preserve"> Un</v>
      </c>
      <c r="C8" s="296">
        <v>1</v>
      </c>
      <c r="D8" s="252">
        <f>+VLOOKUP(A8,MATERIALES!$A$2:$I$245,9,0)</f>
        <v>19331</v>
      </c>
      <c r="E8" s="251">
        <f t="shared" si="0"/>
        <v>19331</v>
      </c>
    </row>
    <row r="9" spans="1:11" ht="16.5">
      <c r="A9" s="532" t="s">
        <v>618</v>
      </c>
      <c r="B9" s="250" t="str">
        <f>+VLOOKUP(A9,MATERIALES!$A$2:$I$245,2,0)</f>
        <v>m</v>
      </c>
      <c r="C9" s="296">
        <v>3</v>
      </c>
      <c r="D9" s="252">
        <f>+VLOOKUP(A9,MATERIALES!$A$2:$I$245,9,0)</f>
        <v>1750</v>
      </c>
      <c r="E9" s="251">
        <f t="shared" si="0"/>
        <v>5250</v>
      </c>
    </row>
    <row r="10" spans="1:11" ht="16.5">
      <c r="A10" s="532" t="s">
        <v>619</v>
      </c>
      <c r="B10" s="250" t="str">
        <f>+VLOOKUP(A10,MATERIALES!$A$2:$I$245,2,0)</f>
        <v xml:space="preserve"> Un</v>
      </c>
      <c r="C10" s="296">
        <v>3</v>
      </c>
      <c r="D10" s="252">
        <f>+VLOOKUP(A10,MATERIALES!$A$2:$I$245,9,0)</f>
        <v>400</v>
      </c>
      <c r="E10" s="251">
        <f t="shared" si="0"/>
        <v>1200</v>
      </c>
    </row>
    <row r="11" spans="1:11" ht="16.5">
      <c r="A11" s="532" t="s">
        <v>651</v>
      </c>
      <c r="B11" s="250" t="str">
        <f>+VLOOKUP(A11,MATERIALES!$A$2:$I$245,2,0)</f>
        <v>m</v>
      </c>
      <c r="C11" s="296">
        <v>3</v>
      </c>
      <c r="D11" s="252">
        <f>+VLOOKUP(A11,MATERIALES!$A$2:$I$245,9,0)</f>
        <v>5950</v>
      </c>
      <c r="E11" s="251">
        <f t="shared" si="0"/>
        <v>17850</v>
      </c>
    </row>
    <row r="12" spans="1:11" ht="16.5">
      <c r="A12" s="532" t="s">
        <v>676</v>
      </c>
      <c r="B12" s="250" t="str">
        <f>+VLOOKUP(A12,MATERIALES!$A$2:$I$245,2,0)</f>
        <v>m3</v>
      </c>
      <c r="C12" s="296">
        <v>0.15</v>
      </c>
      <c r="D12" s="252">
        <f>+VLOOKUP(A12,MATERIALES!$A$2:$I$245,9,0)</f>
        <v>289800</v>
      </c>
      <c r="E12" s="251">
        <f t="shared" si="0"/>
        <v>43470</v>
      </c>
      <c r="F12" t="s">
        <v>1089</v>
      </c>
    </row>
    <row r="13" spans="1:11" ht="16.5">
      <c r="A13" s="532" t="s">
        <v>650</v>
      </c>
      <c r="B13" s="250" t="str">
        <f>+VLOOKUP(A13,MATERIALES!$A$2:$I$245,2,0)</f>
        <v>m3</v>
      </c>
      <c r="C13" s="296">
        <v>0.75</v>
      </c>
      <c r="D13" s="252">
        <f>+VLOOKUP(A13,MATERIALES!$A$2:$I$245,9,0)</f>
        <v>13566</v>
      </c>
      <c r="E13" s="251">
        <f t="shared" si="0"/>
        <v>10174.5</v>
      </c>
    </row>
    <row r="14" spans="1:11" ht="16.5">
      <c r="A14" s="532" t="s">
        <v>646</v>
      </c>
      <c r="B14" s="250" t="str">
        <f>+VLOOKUP(A14,MATERIALES!$A$2:$I$245,2,0)</f>
        <v xml:space="preserve"> Un</v>
      </c>
      <c r="C14" s="296">
        <v>0.75</v>
      </c>
      <c r="D14" s="252">
        <f>+VLOOKUP(A14,MATERIALES!$A$2:$I$245,9,0)</f>
        <v>34415</v>
      </c>
      <c r="E14" s="251">
        <f t="shared" si="0"/>
        <v>25811.25</v>
      </c>
    </row>
    <row r="15" spans="1:11" ht="16.5">
      <c r="A15" s="532" t="s">
        <v>715</v>
      </c>
      <c r="B15" s="250" t="str">
        <f>+VLOOKUP(A15,MATERIALES!$A$2:$I$245,2,0)</f>
        <v>m3</v>
      </c>
      <c r="C15" s="296">
        <v>0.75</v>
      </c>
      <c r="D15" s="252">
        <f>+VLOOKUP(A15,MATERIALES!$A$2:$I$245,9,0)</f>
        <v>60000</v>
      </c>
      <c r="E15" s="251">
        <f t="shared" si="0"/>
        <v>45000</v>
      </c>
      <c r="F15" s="324"/>
      <c r="G15" s="324"/>
    </row>
    <row r="16" spans="1:11" ht="16.5">
      <c r="A16" s="532" t="s">
        <v>674</v>
      </c>
      <c r="B16" s="250" t="str">
        <f>+VLOOKUP(A16,MATERIALES!$A$2:$I$245,2,0)</f>
        <v>m3</v>
      </c>
      <c r="C16" s="296">
        <v>0.5</v>
      </c>
      <c r="D16" s="252">
        <f>+VLOOKUP(A16,MATERIALES!$A$2:$I$245,9,0)</f>
        <v>43530</v>
      </c>
      <c r="E16" s="251">
        <f t="shared" si="0"/>
        <v>21765</v>
      </c>
      <c r="F16" s="324"/>
      <c r="G16" s="324"/>
    </row>
    <row r="17" spans="1:6" ht="16.5">
      <c r="A17" s="532" t="s">
        <v>620</v>
      </c>
      <c r="B17" s="250" t="str">
        <f>+VLOOKUP(A17,MATERIALES!$A$2:$I$245,2,0)</f>
        <v>m3</v>
      </c>
      <c r="C17" s="296">
        <v>0.3</v>
      </c>
      <c r="D17" s="252">
        <f>+VLOOKUP(A17,MATERIALES!$A$2:$I$245,9,0)</f>
        <v>420183</v>
      </c>
      <c r="E17" s="251">
        <f t="shared" si="0"/>
        <v>126054.9</v>
      </c>
      <c r="F17" t="s">
        <v>1089</v>
      </c>
    </row>
    <row r="18" spans="1:6" ht="16.5">
      <c r="A18" s="294"/>
      <c r="B18" s="250"/>
      <c r="C18" s="258"/>
      <c r="D18" s="252"/>
      <c r="E18" s="251"/>
    </row>
    <row r="19" spans="1:6" ht="16.5">
      <c r="A19" s="883"/>
      <c r="B19" s="884"/>
      <c r="C19" s="884"/>
      <c r="D19" s="884"/>
      <c r="E19" s="885"/>
    </row>
    <row r="20" spans="1:6" ht="16.5">
      <c r="A20" s="880" t="s">
        <v>599</v>
      </c>
      <c r="B20" s="881"/>
      <c r="C20" s="881"/>
      <c r="D20" s="881"/>
      <c r="E20" s="251">
        <f>SUM(E4:E18)</f>
        <v>1730254.47</v>
      </c>
    </row>
    <row r="21" spans="1:6" ht="16.5">
      <c r="A21" s="271" t="s">
        <v>600</v>
      </c>
      <c r="B21" s="534"/>
      <c r="C21" s="423">
        <v>0.1</v>
      </c>
      <c r="D21" s="535"/>
      <c r="E21" s="268">
        <f>+C21*E20*$K$3</f>
        <v>17302.544700000002</v>
      </c>
    </row>
    <row r="22" spans="1:6" ht="16.5">
      <c r="A22" s="289" t="s">
        <v>601</v>
      </c>
      <c r="B22" s="536" t="str">
        <f>+VLOOKUP(A22,MATERIALES!$A$2:$I$245,2,0)</f>
        <v>DIA</v>
      </c>
      <c r="C22" s="423">
        <v>1.5</v>
      </c>
      <c r="D22" s="537">
        <f>+VLOOKUP(A22,MATERIALES!$A$2:$I$245,9,0)</f>
        <v>126080</v>
      </c>
      <c r="E22" s="424">
        <f>+ROUND(C22*D22,0)</f>
        <v>189120</v>
      </c>
    </row>
    <row r="23" spans="1:6" ht="16.5">
      <c r="A23" s="882" t="s">
        <v>602</v>
      </c>
      <c r="B23" s="882"/>
      <c r="C23" s="882"/>
      <c r="D23" s="882"/>
      <c r="E23" s="263">
        <f>+ROUND(SUM(E20:E22),0)</f>
        <v>1936677</v>
      </c>
    </row>
    <row r="24" spans="1:6" ht="16.5">
      <c r="A24" s="279"/>
      <c r="B24" s="279"/>
      <c r="C24" s="279"/>
      <c r="D24" s="279"/>
      <c r="E24" s="280"/>
    </row>
    <row r="25" spans="1:6" ht="15" thickBot="1">
      <c r="A25" s="324"/>
      <c r="B25" s="324"/>
      <c r="C25" s="324"/>
      <c r="D25" s="324"/>
      <c r="E25" s="324"/>
    </row>
    <row r="26" spans="1:6" ht="16.5">
      <c r="A26" s="886" t="s">
        <v>971</v>
      </c>
      <c r="B26" s="886"/>
      <c r="C26" s="887"/>
      <c r="D26" s="254" t="s">
        <v>592</v>
      </c>
      <c r="E26" s="255" t="s">
        <v>8</v>
      </c>
    </row>
    <row r="27" spans="1:6" ht="16.5">
      <c r="A27" s="888"/>
      <c r="B27" s="888"/>
      <c r="C27" s="889"/>
      <c r="D27" s="256" t="s">
        <v>593</v>
      </c>
      <c r="E27" s="257"/>
    </row>
    <row r="28" spans="1:6" ht="16.5">
      <c r="A28" s="285" t="s">
        <v>594</v>
      </c>
      <c r="B28" s="247" t="s">
        <v>595</v>
      </c>
      <c r="C28" s="247" t="s">
        <v>596</v>
      </c>
      <c r="D28" s="248" t="s">
        <v>597</v>
      </c>
      <c r="E28" s="249" t="s">
        <v>598</v>
      </c>
    </row>
    <row r="29" spans="1:6" ht="52.5">
      <c r="A29" s="487" t="s">
        <v>971</v>
      </c>
      <c r="B29" s="250" t="str">
        <f>+VLOOKUP(A29,MATERIALES!$A$2:$I$245,2,0)</f>
        <v>ML</v>
      </c>
      <c r="C29" s="258">
        <v>6</v>
      </c>
      <c r="D29" s="252">
        <f>+VLOOKUP(A29,MATERIALES!$A$2:$I$245,9,0)</f>
        <v>515477</v>
      </c>
      <c r="E29" s="251">
        <f>+C29*D29</f>
        <v>3092862</v>
      </c>
    </row>
    <row r="30" spans="1:6" ht="16.5">
      <c r="A30" s="287"/>
      <c r="B30" s="250"/>
      <c r="C30" s="258"/>
      <c r="D30" s="252"/>
      <c r="E30" s="251"/>
    </row>
    <row r="31" spans="1:6" ht="16.5">
      <c r="A31" s="264"/>
      <c r="B31" s="265"/>
      <c r="C31" s="266"/>
      <c r="D31" s="267"/>
      <c r="E31" s="268"/>
    </row>
    <row r="32" spans="1:6" ht="16.5">
      <c r="A32" s="883"/>
      <c r="B32" s="884"/>
      <c r="C32" s="884"/>
      <c r="D32" s="884"/>
      <c r="E32" s="885"/>
    </row>
    <row r="33" spans="1:5" ht="16.5">
      <c r="A33" s="880" t="s">
        <v>599</v>
      </c>
      <c r="B33" s="881"/>
      <c r="C33" s="881"/>
      <c r="D33" s="881"/>
      <c r="E33" s="251">
        <f>SUM(E29:E30)</f>
        <v>3092862</v>
      </c>
    </row>
    <row r="34" spans="1:5" ht="16.5">
      <c r="A34" s="271" t="s">
        <v>600</v>
      </c>
      <c r="B34" s="271"/>
      <c r="C34" s="423">
        <v>0</v>
      </c>
      <c r="D34" s="271"/>
      <c r="E34" s="268">
        <f>+C34*E33*$K$3</f>
        <v>0</v>
      </c>
    </row>
    <row r="35" spans="1:5" ht="16.5">
      <c r="A35" s="289" t="s">
        <v>601</v>
      </c>
      <c r="B35" s="269" t="str">
        <f>+VLOOKUP(A35,MATERIALES!$A$2:$I$245,2,0)</f>
        <v>DIA</v>
      </c>
      <c r="C35" s="423">
        <v>0</v>
      </c>
      <c r="D35" s="270">
        <f>+VLOOKUP(A35,MATERIALES!$A$2:$I$245,9,0)</f>
        <v>126080</v>
      </c>
      <c r="E35" s="268">
        <f>+ROUND(C35*D35,0)</f>
        <v>0</v>
      </c>
    </row>
    <row r="36" spans="1:5" ht="16.5">
      <c r="A36" s="882" t="s">
        <v>602</v>
      </c>
      <c r="B36" s="882"/>
      <c r="C36" s="882"/>
      <c r="D36" s="882"/>
      <c r="E36" s="263">
        <f>+ROUND(SUM(E33:E35),0)</f>
        <v>3092862</v>
      </c>
    </row>
    <row r="38" spans="1:5" ht="15" thickBot="1"/>
    <row r="39" spans="1:5" ht="16.5">
      <c r="A39" s="886" t="s">
        <v>612</v>
      </c>
      <c r="B39" s="886"/>
      <c r="C39" s="887"/>
      <c r="D39" s="254" t="s">
        <v>592</v>
      </c>
      <c r="E39" s="255" t="s">
        <v>8</v>
      </c>
    </row>
    <row r="40" spans="1:5" ht="16.5">
      <c r="A40" s="888"/>
      <c r="B40" s="888"/>
      <c r="C40" s="889"/>
      <c r="D40" s="256" t="s">
        <v>593</v>
      </c>
      <c r="E40" s="257"/>
    </row>
    <row r="41" spans="1:5" ht="16.5">
      <c r="A41" s="285" t="s">
        <v>594</v>
      </c>
      <c r="B41" s="247" t="s">
        <v>595</v>
      </c>
      <c r="C41" s="247" t="s">
        <v>596</v>
      </c>
      <c r="D41" s="248" t="s">
        <v>597</v>
      </c>
      <c r="E41" s="249" t="s">
        <v>598</v>
      </c>
    </row>
    <row r="42" spans="1:5" ht="16.5">
      <c r="A42" s="286" t="s">
        <v>612</v>
      </c>
      <c r="B42" s="250" t="str">
        <f>+VLOOKUP(A42,MATERIALES!$A$2:$I$245,2,0)</f>
        <v xml:space="preserve"> Un</v>
      </c>
      <c r="C42" s="258">
        <v>1</v>
      </c>
      <c r="D42" s="252">
        <f>+VLOOKUP(A42,MATERIALES!$A$2:$I$245,9,0)</f>
        <v>273850</v>
      </c>
      <c r="E42" s="251">
        <f>+C42*D42</f>
        <v>273850</v>
      </c>
    </row>
    <row r="43" spans="1:5" ht="16.5">
      <c r="A43" s="287" t="s">
        <v>622</v>
      </c>
      <c r="B43" s="250" t="str">
        <f>+VLOOKUP(A43,MATERIALES!$A$2:$I$245,2,0)</f>
        <v xml:space="preserve"> Un</v>
      </c>
      <c r="C43" s="258">
        <v>1</v>
      </c>
      <c r="D43" s="252">
        <f>+VLOOKUP(A43,MATERIALES!$A$2:$I$245,9,0)</f>
        <v>18650</v>
      </c>
      <c r="E43" s="251">
        <f>+C43*D43</f>
        <v>18650</v>
      </c>
    </row>
    <row r="44" spans="1:5" ht="16.5">
      <c r="A44" s="287" t="s">
        <v>623</v>
      </c>
      <c r="B44" s="250" t="str">
        <f>+VLOOKUP(A44,MATERIALES!$A$2:$I$245,2,0)</f>
        <v>rollo</v>
      </c>
      <c r="C44" s="258">
        <v>1</v>
      </c>
      <c r="D44" s="252">
        <f>+VLOOKUP(A44,MATERIALES!$A$2:$I$245,9,0)</f>
        <v>44650</v>
      </c>
      <c r="E44" s="251">
        <f>+C44*D44</f>
        <v>44650</v>
      </c>
    </row>
    <row r="45" spans="1:5" ht="16.5">
      <c r="A45" s="287" t="s">
        <v>624</v>
      </c>
      <c r="B45" s="250" t="str">
        <f>+VLOOKUP(A45,MATERIALES!$A$2:$I$245,2,0)</f>
        <v>m</v>
      </c>
      <c r="C45" s="258">
        <v>1</v>
      </c>
      <c r="D45" s="252">
        <f>+VLOOKUP(A45,MATERIALES!$A$2:$I$245,9,0)</f>
        <v>1850</v>
      </c>
      <c r="E45" s="251">
        <f>+C45*D45</f>
        <v>1850</v>
      </c>
    </row>
    <row r="46" spans="1:5" ht="16.5">
      <c r="A46" s="288"/>
      <c r="B46" s="250"/>
      <c r="C46" s="258"/>
      <c r="D46" s="252"/>
      <c r="E46" s="251"/>
    </row>
    <row r="47" spans="1:5" ht="16.5">
      <c r="A47" s="264"/>
      <c r="B47" s="265"/>
      <c r="C47" s="266"/>
      <c r="D47" s="267"/>
      <c r="E47" s="268"/>
    </row>
    <row r="48" spans="1:5" ht="16.5">
      <c r="A48" s="883"/>
      <c r="B48" s="884"/>
      <c r="C48" s="884"/>
      <c r="D48" s="884"/>
      <c r="E48" s="885"/>
    </row>
    <row r="49" spans="1:5" ht="16.5">
      <c r="A49" s="880" t="s">
        <v>599</v>
      </c>
      <c r="B49" s="881"/>
      <c r="C49" s="881"/>
      <c r="D49" s="881"/>
      <c r="E49" s="251">
        <f>SUM(E42:E46)</f>
        <v>339000</v>
      </c>
    </row>
    <row r="50" spans="1:5" ht="16.5">
      <c r="A50" s="271" t="s">
        <v>600</v>
      </c>
      <c r="B50" s="271"/>
      <c r="C50" s="423">
        <v>1</v>
      </c>
      <c r="D50" s="271"/>
      <c r="E50" s="268">
        <f>+C50*E49*$K$3</f>
        <v>33900</v>
      </c>
    </row>
    <row r="51" spans="1:5" ht="16.5">
      <c r="A51" s="289" t="s">
        <v>601</v>
      </c>
      <c r="B51" s="269" t="str">
        <f>+VLOOKUP(A51,MATERIALES!$A$2:$I$245,2,0)</f>
        <v>DIA</v>
      </c>
      <c r="C51" s="423">
        <v>1.2</v>
      </c>
      <c r="D51" s="270">
        <f>+VLOOKUP(A51,MATERIALES!$A$2:$I$245,9,0)</f>
        <v>126080</v>
      </c>
      <c r="E51" s="424">
        <f>+ROUND(C51*D51,0)</f>
        <v>151296</v>
      </c>
    </row>
    <row r="52" spans="1:5" ht="16.5">
      <c r="A52" s="882" t="s">
        <v>602</v>
      </c>
      <c r="B52" s="882"/>
      <c r="C52" s="882"/>
      <c r="D52" s="882"/>
      <c r="E52" s="263">
        <f>+ROUND(SUM(E49:E51),0)</f>
        <v>524196</v>
      </c>
    </row>
    <row r="54" spans="1:5" ht="15" thickBot="1"/>
    <row r="55" spans="1:5" ht="16.5">
      <c r="A55" s="886" t="s">
        <v>628</v>
      </c>
      <c r="B55" s="886"/>
      <c r="C55" s="887"/>
      <c r="D55" s="254" t="s">
        <v>592</v>
      </c>
      <c r="E55" s="255" t="s">
        <v>8</v>
      </c>
    </row>
    <row r="56" spans="1:5" ht="16.5">
      <c r="A56" s="888"/>
      <c r="B56" s="888"/>
      <c r="C56" s="889"/>
      <c r="D56" s="256" t="s">
        <v>593</v>
      </c>
      <c r="E56" s="257"/>
    </row>
    <row r="57" spans="1:5" ht="16.5">
      <c r="A57" s="285" t="s">
        <v>594</v>
      </c>
      <c r="B57" s="247" t="s">
        <v>595</v>
      </c>
      <c r="C57" s="247" t="s">
        <v>596</v>
      </c>
      <c r="D57" s="248" t="s">
        <v>597</v>
      </c>
      <c r="E57" s="249" t="s">
        <v>598</v>
      </c>
    </row>
    <row r="58" spans="1:5" ht="16.5">
      <c r="A58" s="287" t="s">
        <v>641</v>
      </c>
      <c r="B58" s="250" t="str">
        <f>+VLOOKUP(A58,MATERIALES!$A$2:$I$245,2,0)</f>
        <v xml:space="preserve"> Un</v>
      </c>
      <c r="C58" s="258">
        <v>3</v>
      </c>
      <c r="D58" s="252">
        <f>+VLOOKUP(A58,MATERIALES!$A$2:$I$245,9,0)</f>
        <v>108737</v>
      </c>
      <c r="E58" s="251">
        <f t="shared" ref="E58:E67" si="1">+C58*D58</f>
        <v>326211</v>
      </c>
    </row>
    <row r="59" spans="1:5" ht="16.5">
      <c r="A59" s="294" t="s">
        <v>640</v>
      </c>
      <c r="B59" s="250" t="str">
        <f>+VLOOKUP(A59,MATERIALES!$A$2:$I$245,2,0)</f>
        <v xml:space="preserve"> Un</v>
      </c>
      <c r="C59" s="258">
        <v>1</v>
      </c>
      <c r="D59" s="252">
        <f>+VLOOKUP(A59,MATERIALES!$A$2:$I$245,9,0)</f>
        <v>60851</v>
      </c>
      <c r="E59" s="251">
        <f t="shared" si="1"/>
        <v>60851</v>
      </c>
    </row>
    <row r="60" spans="1:5" ht="16.5">
      <c r="A60" s="287" t="s">
        <v>625</v>
      </c>
      <c r="B60" s="250" t="str">
        <f>+VLOOKUP(A60,MATERIALES!$A$2:$I$245,2,0)</f>
        <v xml:space="preserve"> Un</v>
      </c>
      <c r="C60" s="258">
        <v>2</v>
      </c>
      <c r="D60" s="252">
        <f>+VLOOKUP(A60,MATERIALES!$A$2:$I$245,9,0)</f>
        <v>15250</v>
      </c>
      <c r="E60" s="251">
        <f t="shared" si="1"/>
        <v>30500</v>
      </c>
    </row>
    <row r="61" spans="1:5" ht="16.5">
      <c r="A61" s="287" t="s">
        <v>626</v>
      </c>
      <c r="B61" s="250" t="str">
        <f>+VLOOKUP(A61,MATERIALES!$A$2:$I$245,2,0)</f>
        <v xml:space="preserve"> Un</v>
      </c>
      <c r="C61" s="258">
        <v>1</v>
      </c>
      <c r="D61" s="252">
        <f>+VLOOKUP(A61,MATERIALES!$A$2:$I$245,9,0)</f>
        <v>33540</v>
      </c>
      <c r="E61" s="251">
        <f t="shared" si="1"/>
        <v>33540</v>
      </c>
    </row>
    <row r="62" spans="1:5" ht="16.5">
      <c r="A62" s="287" t="s">
        <v>632</v>
      </c>
      <c r="B62" s="250" t="str">
        <f>+VLOOKUP(A62,MATERIALES!$A$2:$I$245,2,0)</f>
        <v>m</v>
      </c>
      <c r="C62" s="258">
        <v>12</v>
      </c>
      <c r="D62" s="252">
        <f>+VLOOKUP(A62,MATERIALES!$A$2:$I$245,9,0)</f>
        <v>7756</v>
      </c>
      <c r="E62" s="251">
        <f t="shared" si="1"/>
        <v>93072</v>
      </c>
    </row>
    <row r="63" spans="1:5" ht="16.5">
      <c r="A63" s="278" t="s">
        <v>649</v>
      </c>
      <c r="B63" s="250" t="str">
        <f>+VLOOKUP(A63,MATERIALES!$A$2:$I$245,2,0)</f>
        <v>tubo</v>
      </c>
      <c r="C63" s="258">
        <v>1</v>
      </c>
      <c r="D63" s="252">
        <f>+VLOOKUP(A63,MATERIALES!$A$2:$I$245,9,0)</f>
        <v>32100</v>
      </c>
      <c r="E63" s="251">
        <f t="shared" si="1"/>
        <v>32100</v>
      </c>
    </row>
    <row r="64" spans="1:5" ht="16.5">
      <c r="A64" s="287" t="s">
        <v>618</v>
      </c>
      <c r="B64" s="250" t="str">
        <f>+VLOOKUP(A64,MATERIALES!$A$2:$I$245,2,0)</f>
        <v>m</v>
      </c>
      <c r="C64" s="258">
        <v>2</v>
      </c>
      <c r="D64" s="252">
        <f>+VLOOKUP(A64,MATERIALES!$A$2:$I$245,9,0)</f>
        <v>1750</v>
      </c>
      <c r="E64" s="251">
        <f t="shared" si="1"/>
        <v>3500</v>
      </c>
    </row>
    <row r="65" spans="1:5" ht="16.5">
      <c r="A65" s="287" t="s">
        <v>619</v>
      </c>
      <c r="B65" s="250" t="str">
        <f>+VLOOKUP(A65,MATERIALES!$A$2:$I$245,2,0)</f>
        <v xml:space="preserve"> Un</v>
      </c>
      <c r="C65" s="258">
        <v>2</v>
      </c>
      <c r="D65" s="252">
        <f>+VLOOKUP(A65,MATERIALES!$A$2:$I$245,9,0)</f>
        <v>400</v>
      </c>
      <c r="E65" s="251">
        <f t="shared" si="1"/>
        <v>800</v>
      </c>
    </row>
    <row r="66" spans="1:5" ht="16.5">
      <c r="A66" s="287" t="s">
        <v>812</v>
      </c>
      <c r="B66" s="250" t="str">
        <f>+VLOOKUP(A66,MATERIALES!$A$2:$I$245,2,0)</f>
        <v xml:space="preserve"> Un</v>
      </c>
      <c r="C66" s="258">
        <v>1</v>
      </c>
      <c r="D66" s="252">
        <f>+VLOOKUP(A66,MATERIALES!$A$2:$I$245,9,0)</f>
        <v>147527</v>
      </c>
      <c r="E66" s="251">
        <f t="shared" si="1"/>
        <v>147527</v>
      </c>
    </row>
    <row r="67" spans="1:5" ht="16.5">
      <c r="A67" s="288" t="s">
        <v>627</v>
      </c>
      <c r="B67" s="250" t="str">
        <f>+VLOOKUP(A67,MATERIALES!$A$2:$I$245,2,0)</f>
        <v xml:space="preserve"> Un</v>
      </c>
      <c r="C67" s="258">
        <v>1</v>
      </c>
      <c r="D67" s="252">
        <f>+VLOOKUP(A67,MATERIALES!$A$2:$I$245,9,0)</f>
        <v>14550</v>
      </c>
      <c r="E67" s="251">
        <f t="shared" si="1"/>
        <v>14550</v>
      </c>
    </row>
    <row r="68" spans="1:5" ht="16.5">
      <c r="A68" s="264"/>
      <c r="B68" s="265"/>
      <c r="C68" s="266"/>
      <c r="D68" s="267"/>
      <c r="E68" s="268"/>
    </row>
    <row r="69" spans="1:5" ht="16.5">
      <c r="A69" s="883"/>
      <c r="B69" s="884"/>
      <c r="C69" s="884"/>
      <c r="D69" s="884"/>
      <c r="E69" s="885"/>
    </row>
    <row r="70" spans="1:5" ht="16.5">
      <c r="A70" s="880" t="s">
        <v>599</v>
      </c>
      <c r="B70" s="881"/>
      <c r="C70" s="881"/>
      <c r="D70" s="881"/>
      <c r="E70" s="251">
        <f>SUM(E58:E67)</f>
        <v>742651</v>
      </c>
    </row>
    <row r="71" spans="1:5" ht="16.5">
      <c r="A71" s="271" t="s">
        <v>600</v>
      </c>
      <c r="B71" s="271"/>
      <c r="C71" s="423">
        <v>1</v>
      </c>
      <c r="D71" s="271"/>
      <c r="E71" s="268">
        <f>+C71*E70*$K$3</f>
        <v>74265.100000000006</v>
      </c>
    </row>
    <row r="72" spans="1:5" ht="16.5">
      <c r="A72" s="289" t="s">
        <v>601</v>
      </c>
      <c r="B72" s="269" t="str">
        <f>+VLOOKUP(A72,MATERIALES!$A$2:$I$245,2,0)</f>
        <v>DIA</v>
      </c>
      <c r="C72" s="423">
        <v>1.2</v>
      </c>
      <c r="D72" s="270">
        <f>+VLOOKUP(A72,MATERIALES!$A$2:$I$245,9,0)</f>
        <v>126080</v>
      </c>
      <c r="E72" s="424">
        <f>+ROUND(C72*D72,0)</f>
        <v>151296</v>
      </c>
    </row>
    <row r="73" spans="1:5" ht="16.5">
      <c r="A73" s="882" t="s">
        <v>602</v>
      </c>
      <c r="B73" s="882"/>
      <c r="C73" s="882"/>
      <c r="D73" s="882"/>
      <c r="E73" s="263">
        <f>+ROUND(SUM(E70:E72),0)</f>
        <v>968212</v>
      </c>
    </row>
    <row r="75" spans="1:5" ht="15" thickBot="1"/>
    <row r="76" spans="1:5" ht="16.5">
      <c r="A76" s="886" t="s">
        <v>805</v>
      </c>
      <c r="B76" s="886"/>
      <c r="C76" s="887"/>
      <c r="D76" s="254" t="s">
        <v>592</v>
      </c>
      <c r="E76" s="255" t="s">
        <v>8</v>
      </c>
    </row>
    <row r="77" spans="1:5" ht="16.5">
      <c r="A77" s="888"/>
      <c r="B77" s="888"/>
      <c r="C77" s="889"/>
      <c r="D77" s="256" t="s">
        <v>593</v>
      </c>
      <c r="E77" s="257"/>
    </row>
    <row r="78" spans="1:5" ht="16.5">
      <c r="A78" s="285" t="s">
        <v>594</v>
      </c>
      <c r="B78" s="247" t="s">
        <v>595</v>
      </c>
      <c r="C78" s="247" t="s">
        <v>596</v>
      </c>
      <c r="D78" s="248" t="s">
        <v>597</v>
      </c>
      <c r="E78" s="249" t="s">
        <v>598</v>
      </c>
    </row>
    <row r="79" spans="1:5" ht="16.5">
      <c r="A79" s="295" t="s">
        <v>650</v>
      </c>
      <c r="B79" s="361" t="str">
        <f>+VLOOKUP(A79,MATERIALES!$A$2:$I$245,2,0)</f>
        <v>m3</v>
      </c>
      <c r="C79" s="366">
        <v>5.78</v>
      </c>
      <c r="D79" s="252">
        <f>+VLOOKUP(A79,MATERIALES!$A$2:$I$245,9,0)</f>
        <v>13566</v>
      </c>
      <c r="E79" s="251">
        <f t="shared" ref="E79:E87" si="2">+C79*D79</f>
        <v>78411.48000000001</v>
      </c>
    </row>
    <row r="80" spans="1:5" ht="16.5">
      <c r="A80" s="295" t="s">
        <v>646</v>
      </c>
      <c r="B80" s="361" t="str">
        <f>+VLOOKUP(A80,MATERIALES!$A$2:$I$245,2,0)</f>
        <v xml:space="preserve"> Un</v>
      </c>
      <c r="C80" s="366">
        <v>6</v>
      </c>
      <c r="D80" s="252">
        <f>+VLOOKUP(A80,MATERIALES!$A$2:$I$245,9,0)</f>
        <v>34415</v>
      </c>
      <c r="E80" s="251">
        <f>+C80*D80</f>
        <v>206490</v>
      </c>
    </row>
    <row r="81" spans="1:6" ht="16.5">
      <c r="A81" s="295" t="s">
        <v>733</v>
      </c>
      <c r="B81" s="364" t="str">
        <f>+VLOOKUP(A81,MATERIALES!$A$2:$I$245,2,0)</f>
        <v>Un</v>
      </c>
      <c r="C81" s="367">
        <v>10.88</v>
      </c>
      <c r="D81" s="252">
        <f>+VLOOKUP(A81,MATERIALES!$A$2:$I$245,9,0)</f>
        <v>70857</v>
      </c>
      <c r="E81" s="251">
        <f>+C81*D81</f>
        <v>770924.16</v>
      </c>
    </row>
    <row r="82" spans="1:6" ht="16.5">
      <c r="A82" s="295" t="s">
        <v>734</v>
      </c>
      <c r="B82" s="362" t="str">
        <f>+VLOOKUP(A82,MATERIALES!$A$2:$I$245,2,0)</f>
        <v>m2</v>
      </c>
      <c r="C82" s="368">
        <v>9.18</v>
      </c>
      <c r="D82" s="363">
        <f>+VLOOKUP(A82,MATERIALES!$A$2:$I$245,9,0)</f>
        <v>16000</v>
      </c>
      <c r="E82" s="251">
        <f>+C82*D82</f>
        <v>146880</v>
      </c>
    </row>
    <row r="83" spans="1:6" ht="16.5">
      <c r="A83" s="295" t="s">
        <v>620</v>
      </c>
      <c r="B83" s="362" t="str">
        <f>+VLOOKUP(A83,MATERIALES!$A$2:$I$245,2,0)</f>
        <v>m3</v>
      </c>
      <c r="C83" s="368">
        <v>0.46200000000000002</v>
      </c>
      <c r="D83" s="363">
        <f>+VLOOKUP(A83,MATERIALES!$A$2:$I$245,9,0)</f>
        <v>420183</v>
      </c>
      <c r="E83" s="251">
        <f>+C83*D83</f>
        <v>194124.546</v>
      </c>
      <c r="F83" t="s">
        <v>830</v>
      </c>
    </row>
    <row r="84" spans="1:6" ht="16.5">
      <c r="A84" s="295" t="s">
        <v>735</v>
      </c>
      <c r="B84" s="362" t="str">
        <f>+VLOOKUP(A84,MATERIALES!$A$2:$I$245,2,0)</f>
        <v>m3</v>
      </c>
      <c r="C84" s="368">
        <v>0.09</v>
      </c>
      <c r="D84" s="363">
        <f>+VLOOKUP(A84,MATERIALES!$A$2:$I$245,9,0)</f>
        <v>369852</v>
      </c>
      <c r="E84" s="251">
        <f>+C84*D84</f>
        <v>33286.68</v>
      </c>
      <c r="F84" t="s">
        <v>831</v>
      </c>
    </row>
    <row r="85" spans="1:6" ht="16.5">
      <c r="A85" s="295" t="s">
        <v>804</v>
      </c>
      <c r="B85" s="362" t="str">
        <f>+VLOOKUP(A85,MATERIALES!$A$2:$I$245,2,0)</f>
        <v>Un</v>
      </c>
      <c r="C85" s="368">
        <v>1</v>
      </c>
      <c r="D85" s="363">
        <f>+VLOOKUP(A85,MATERIALES!$A$2:$I$245,9,0)</f>
        <v>583920</v>
      </c>
      <c r="E85" s="251">
        <f t="shared" si="2"/>
        <v>583920</v>
      </c>
      <c r="F85" t="s">
        <v>1120</v>
      </c>
    </row>
    <row r="86" spans="1:6" ht="16.5">
      <c r="A86" s="295" t="s">
        <v>634</v>
      </c>
      <c r="B86" s="362" t="str">
        <f>+VLOOKUP(A86,MATERIALES!$A$2:$I$245,2,0)</f>
        <v>M3</v>
      </c>
      <c r="C86" s="368">
        <v>0.02</v>
      </c>
      <c r="D86" s="363">
        <f>+VLOOKUP(A86,MATERIALES!$A$2:$I$245,9,0)</f>
        <v>49576</v>
      </c>
      <c r="E86" s="251">
        <f t="shared" si="2"/>
        <v>991.52</v>
      </c>
    </row>
    <row r="87" spans="1:6" ht="16.5">
      <c r="A87" s="295" t="s">
        <v>736</v>
      </c>
      <c r="B87" s="362" t="str">
        <f>+VLOOKUP(A87,MATERIALES!$A$2:$I$245,2,0)</f>
        <v>Un</v>
      </c>
      <c r="C87" s="368">
        <v>1</v>
      </c>
      <c r="D87" s="363">
        <f>+VLOOKUP(A87,MATERIALES!$A$2:$I$245,9,0)</f>
        <v>119000</v>
      </c>
      <c r="E87" s="251">
        <f t="shared" si="2"/>
        <v>119000</v>
      </c>
    </row>
    <row r="88" spans="1:6" ht="16.5">
      <c r="A88" s="298"/>
      <c r="B88" s="312"/>
      <c r="C88" s="365"/>
      <c r="D88" s="252"/>
      <c r="E88" s="251"/>
    </row>
    <row r="89" spans="1:6" ht="16.5">
      <c r="A89" s="883"/>
      <c r="B89" s="884"/>
      <c r="C89" s="884"/>
      <c r="D89" s="884"/>
      <c r="E89" s="885"/>
    </row>
    <row r="90" spans="1:6" ht="16.5">
      <c r="A90" s="880" t="s">
        <v>599</v>
      </c>
      <c r="B90" s="881"/>
      <c r="C90" s="881"/>
      <c r="D90" s="881"/>
      <c r="E90" s="251">
        <f>SUM(E79:E88)</f>
        <v>2134028.3859999999</v>
      </c>
    </row>
    <row r="91" spans="1:6" ht="16.5">
      <c r="A91" s="271" t="s">
        <v>600</v>
      </c>
      <c r="B91" s="271"/>
      <c r="C91" s="423">
        <v>0.2</v>
      </c>
      <c r="D91" s="271"/>
      <c r="E91" s="268">
        <f>+C91*E90*$K$3</f>
        <v>42680.567720000006</v>
      </c>
    </row>
    <row r="92" spans="1:6" ht="16.5">
      <c r="A92" s="289" t="s">
        <v>601</v>
      </c>
      <c r="B92" s="269" t="str">
        <f>+VLOOKUP(A92,MATERIALES!$A$2:$I$245,2,0)</f>
        <v>DIA</v>
      </c>
      <c r="C92" s="423">
        <v>0</v>
      </c>
      <c r="D92" s="270">
        <f>+VLOOKUP(A92,MATERIALES!$A$2:$I$245,9,0)</f>
        <v>126080</v>
      </c>
      <c r="E92" s="424">
        <f>+ROUND(C92*D92,0)</f>
        <v>0</v>
      </c>
    </row>
    <row r="93" spans="1:6" ht="16.5">
      <c r="A93" s="882" t="s">
        <v>602</v>
      </c>
      <c r="B93" s="882"/>
      <c r="C93" s="882"/>
      <c r="D93" s="882"/>
      <c r="E93" s="263">
        <f>+ROUND(SUM(E90:E92),0)</f>
        <v>2176709</v>
      </c>
    </row>
    <row r="95" spans="1:6" ht="15" thickBot="1"/>
    <row r="96" spans="1:6" ht="16.5">
      <c r="A96" s="890" t="s">
        <v>681</v>
      </c>
      <c r="B96" s="890"/>
      <c r="C96" s="891"/>
      <c r="D96" s="528" t="s">
        <v>592</v>
      </c>
      <c r="E96" s="529" t="s">
        <v>8</v>
      </c>
    </row>
    <row r="97" spans="1:6" ht="16.5">
      <c r="A97" s="892"/>
      <c r="B97" s="892"/>
      <c r="C97" s="893"/>
      <c r="D97" s="530" t="s">
        <v>593</v>
      </c>
      <c r="E97" s="531"/>
    </row>
    <row r="98" spans="1:6" ht="16.5">
      <c r="A98" s="285" t="s">
        <v>594</v>
      </c>
      <c r="B98" s="247" t="s">
        <v>595</v>
      </c>
      <c r="C98" s="247" t="s">
        <v>596</v>
      </c>
      <c r="D98" s="248" t="s">
        <v>597</v>
      </c>
      <c r="E98" s="249" t="s">
        <v>598</v>
      </c>
    </row>
    <row r="99" spans="1:6" ht="16.5">
      <c r="A99" s="295" t="s">
        <v>650</v>
      </c>
      <c r="B99" s="250" t="str">
        <f>+VLOOKUP(A99,MATERIALES!$A$2:$I$245,2,0)</f>
        <v>m3</v>
      </c>
      <c r="C99" s="425">
        <v>0.72</v>
      </c>
      <c r="D99" s="252">
        <f>+VLOOKUP(A99,MATERIALES!$A$2:$I$245,9,0)</f>
        <v>13566</v>
      </c>
      <c r="E99" s="251">
        <f t="shared" ref="E99:E108" si="3">+C99*D99</f>
        <v>9767.52</v>
      </c>
    </row>
    <row r="100" spans="1:6" ht="16.5">
      <c r="A100" s="295" t="s">
        <v>673</v>
      </c>
      <c r="B100" s="250" t="str">
        <f>+VLOOKUP(A100,MATERIALES!$A$2:$I$245,2,0)</f>
        <v>tubo</v>
      </c>
      <c r="C100" s="425">
        <v>0.34</v>
      </c>
      <c r="D100" s="252">
        <f>+VLOOKUP(A100,MATERIALES!$A$2:$I$245,9,0)</f>
        <v>226634</v>
      </c>
      <c r="E100" s="251">
        <f t="shared" si="3"/>
        <v>77055.560000000012</v>
      </c>
      <c r="F100" t="s">
        <v>683</v>
      </c>
    </row>
    <row r="101" spans="1:6" ht="16.5">
      <c r="A101" s="295" t="s">
        <v>617</v>
      </c>
      <c r="B101" s="250" t="str">
        <f>+VLOOKUP(A101,MATERIALES!$A$2:$I$245,2,0)</f>
        <v xml:space="preserve"> Un</v>
      </c>
      <c r="C101" s="425">
        <v>0.1</v>
      </c>
      <c r="D101" s="252">
        <f>+VLOOKUP(A101,MATERIALES!$A$2:$I$245,9,0)</f>
        <v>19331</v>
      </c>
      <c r="E101" s="251">
        <f t="shared" si="3"/>
        <v>1933.1000000000001</v>
      </c>
    </row>
    <row r="102" spans="1:6" ht="16.5">
      <c r="A102" s="295" t="s">
        <v>651</v>
      </c>
      <c r="B102" s="250" t="str">
        <f>+VLOOKUP(A102,MATERIALES!$A$2:$I$245,2,0)</f>
        <v>m</v>
      </c>
      <c r="C102" s="425">
        <v>2</v>
      </c>
      <c r="D102" s="252">
        <f>+VLOOKUP(A102,MATERIALES!$A$2:$I$245,9,0)</f>
        <v>5950</v>
      </c>
      <c r="E102" s="251">
        <f t="shared" si="3"/>
        <v>11900</v>
      </c>
    </row>
    <row r="103" spans="1:6" ht="16.5">
      <c r="A103" s="295" t="s">
        <v>676</v>
      </c>
      <c r="B103" s="250" t="str">
        <f>+VLOOKUP(A103,MATERIALES!$A$2:$I$245,2,0)</f>
        <v>m3</v>
      </c>
      <c r="C103" s="425">
        <v>0.15</v>
      </c>
      <c r="D103" s="252">
        <f>+VLOOKUP(A103,MATERIALES!$A$2:$I$245,9,0)</f>
        <v>289800</v>
      </c>
      <c r="E103" s="251">
        <f t="shared" si="3"/>
        <v>43470</v>
      </c>
      <c r="F103" t="s">
        <v>973</v>
      </c>
    </row>
    <row r="104" spans="1:6" ht="16.5">
      <c r="A104" s="295" t="s">
        <v>646</v>
      </c>
      <c r="B104" s="250" t="str">
        <f>+VLOOKUP(A104,MATERIALES!$A$2:$I$245,2,0)</f>
        <v xml:space="preserve"> Un</v>
      </c>
      <c r="C104" s="425">
        <f>+C103+C99</f>
        <v>0.87</v>
      </c>
      <c r="D104" s="252">
        <f>+VLOOKUP(A104,MATERIALES!$A$2:$I$245,9,0)</f>
        <v>34415</v>
      </c>
      <c r="E104" s="251">
        <f t="shared" si="3"/>
        <v>29941.05</v>
      </c>
    </row>
    <row r="105" spans="1:6" ht="16.5">
      <c r="A105" s="295" t="s">
        <v>675</v>
      </c>
      <c r="B105" s="250" t="str">
        <f>+VLOOKUP(A105,MATERIALES!$A$2:$I$245,2,0)</f>
        <v>m3</v>
      </c>
      <c r="C105" s="425">
        <v>0.08</v>
      </c>
      <c r="D105" s="252">
        <f>+VLOOKUP(A105,MATERIALES!$A$2:$I$245,9,0)</f>
        <v>35670</v>
      </c>
      <c r="E105" s="251">
        <f>+C105*D105</f>
        <v>2853.6</v>
      </c>
    </row>
    <row r="106" spans="1:6" ht="16.5">
      <c r="A106" s="295" t="s">
        <v>639</v>
      </c>
      <c r="B106" s="250" t="str">
        <f>+VLOOKUP(A106,MATERIALES!$A$2:$I$245,2,0)</f>
        <v>rollo</v>
      </c>
      <c r="C106" s="425">
        <v>2E-3</v>
      </c>
      <c r="D106" s="252">
        <f>+VLOOKUP(A106,MATERIALES!$A$2:$I$245,9,0)</f>
        <v>141351</v>
      </c>
      <c r="E106" s="251">
        <f>+C106*D106</f>
        <v>282.702</v>
      </c>
    </row>
    <row r="107" spans="1:6" ht="16.5">
      <c r="A107" s="295" t="s">
        <v>715</v>
      </c>
      <c r="B107" s="250" t="str">
        <f>+VLOOKUP(A107,MATERIALES!$A$2:$I$245,2,0)</f>
        <v>m3</v>
      </c>
      <c r="C107" s="425">
        <v>0.53500000000000003</v>
      </c>
      <c r="D107" s="252">
        <f>+VLOOKUP(A107,MATERIALES!$A$2:$I$245,9,0)</f>
        <v>60000</v>
      </c>
      <c r="E107" s="251">
        <f>+C107*D107</f>
        <v>32100.000000000004</v>
      </c>
    </row>
    <row r="108" spans="1:6" ht="16.5">
      <c r="A108" s="295" t="s">
        <v>674</v>
      </c>
      <c r="B108" s="250" t="str">
        <f>+VLOOKUP(A108,MATERIALES!$A$2:$I$245,2,0)</f>
        <v>m3</v>
      </c>
      <c r="C108" s="425">
        <v>0.72</v>
      </c>
      <c r="D108" s="252">
        <f>+VLOOKUP(A108,MATERIALES!$A$2:$I$245,9,0)</f>
        <v>43530</v>
      </c>
      <c r="E108" s="251">
        <f t="shared" si="3"/>
        <v>31341.599999999999</v>
      </c>
    </row>
    <row r="109" spans="1:6" ht="16.5">
      <c r="A109" s="295" t="s">
        <v>620</v>
      </c>
      <c r="B109" s="250" t="str">
        <f>+VLOOKUP(A109,MATERIALES!$A$2:$I$245,2,0)</f>
        <v>m3</v>
      </c>
      <c r="C109" s="425">
        <v>0.15</v>
      </c>
      <c r="D109" s="252">
        <f>+VLOOKUP(A109,MATERIALES!$A$2:$I$245,9,0)</f>
        <v>420183</v>
      </c>
      <c r="E109" s="251">
        <f>+C109*D109</f>
        <v>63027.45</v>
      </c>
    </row>
    <row r="110" spans="1:6" ht="16.5">
      <c r="A110" s="294"/>
      <c r="B110" s="250"/>
      <c r="C110" s="258"/>
      <c r="D110" s="252"/>
      <c r="E110" s="251"/>
    </row>
    <row r="111" spans="1:6" ht="16.5">
      <c r="A111" s="883"/>
      <c r="B111" s="884"/>
      <c r="C111" s="884"/>
      <c r="D111" s="884"/>
      <c r="E111" s="885"/>
    </row>
    <row r="112" spans="1:6" ht="16.5">
      <c r="A112" s="880" t="s">
        <v>599</v>
      </c>
      <c r="B112" s="881"/>
      <c r="C112" s="881"/>
      <c r="D112" s="881"/>
      <c r="E112" s="251">
        <f>SUM(E99:E110)</f>
        <v>303672.58199999999</v>
      </c>
    </row>
    <row r="113" spans="1:6" ht="16.5">
      <c r="A113" s="271" t="s">
        <v>600</v>
      </c>
      <c r="B113" s="271"/>
      <c r="C113" s="423">
        <v>1</v>
      </c>
      <c r="D113" s="271"/>
      <c r="E113" s="268">
        <f>+C113*E112*$K$3</f>
        <v>30367.2582</v>
      </c>
    </row>
    <row r="114" spans="1:6" ht="16.5">
      <c r="A114" s="289" t="s">
        <v>601</v>
      </c>
      <c r="B114" s="269" t="str">
        <f>+VLOOKUP(A114,MATERIALES!$A$2:$I$245,2,0)</f>
        <v>DIA</v>
      </c>
      <c r="C114" s="423">
        <v>0.3</v>
      </c>
      <c r="D114" s="270">
        <f>+VLOOKUP(A114,MATERIALES!$A$2:$I$245,9,0)</f>
        <v>126080</v>
      </c>
      <c r="E114" s="424">
        <f>+ROUND(C114*D114,0)</f>
        <v>37824</v>
      </c>
      <c r="F114" t="s">
        <v>897</v>
      </c>
    </row>
    <row r="115" spans="1:6" ht="16.5">
      <c r="A115" s="882" t="s">
        <v>602</v>
      </c>
      <c r="B115" s="882"/>
      <c r="C115" s="882"/>
      <c r="D115" s="882"/>
      <c r="E115" s="263">
        <f>+ROUND(SUM(E112:E114),0)</f>
        <v>371864</v>
      </c>
    </row>
    <row r="116" spans="1:6" ht="16.5">
      <c r="A116" s="279"/>
      <c r="B116" s="279"/>
      <c r="C116" s="279"/>
      <c r="D116" s="279"/>
      <c r="E116" s="280"/>
    </row>
    <row r="117" spans="1:6" ht="15" thickBot="1"/>
    <row r="118" spans="1:6" ht="16.5">
      <c r="A118" s="886" t="s">
        <v>682</v>
      </c>
      <c r="B118" s="886"/>
      <c r="C118" s="887"/>
      <c r="D118" s="254" t="s">
        <v>592</v>
      </c>
      <c r="E118" s="255" t="s">
        <v>8</v>
      </c>
    </row>
    <row r="119" spans="1:6" ht="16.5">
      <c r="A119" s="888"/>
      <c r="B119" s="888"/>
      <c r="C119" s="889"/>
      <c r="D119" s="256" t="s">
        <v>593</v>
      </c>
      <c r="E119" s="257"/>
    </row>
    <row r="120" spans="1:6" ht="16.5">
      <c r="A120" s="285" t="s">
        <v>594</v>
      </c>
      <c r="B120" s="247" t="s">
        <v>595</v>
      </c>
      <c r="C120" s="247" t="s">
        <v>596</v>
      </c>
      <c r="D120" s="248" t="s">
        <v>597</v>
      </c>
      <c r="E120" s="249" t="s">
        <v>598</v>
      </c>
    </row>
    <row r="121" spans="1:6" ht="16.5">
      <c r="A121" s="329" t="s">
        <v>650</v>
      </c>
      <c r="B121" s="250" t="str">
        <f>+VLOOKUP(A121,MATERIALES!$A$2:$I$245,2,0)</f>
        <v>m3</v>
      </c>
      <c r="C121" s="425">
        <v>0.72</v>
      </c>
      <c r="D121" s="252">
        <f>+VLOOKUP(A121,MATERIALES!$A$2:$I$245,9,0)</f>
        <v>13566</v>
      </c>
      <c r="E121" s="251">
        <f t="shared" ref="E121:E131" si="4">+C121*D121</f>
        <v>9767.52</v>
      </c>
      <c r="F121" t="s">
        <v>679</v>
      </c>
    </row>
    <row r="122" spans="1:6" ht="27">
      <c r="A122" s="443" t="s">
        <v>955</v>
      </c>
      <c r="B122" s="250" t="str">
        <f>+VLOOKUP(A122,MATERIALES!$A$2:$I$245,2,0)</f>
        <v>Ml</v>
      </c>
      <c r="C122" s="425">
        <v>1</v>
      </c>
      <c r="D122" s="252">
        <f>+VLOOKUP(A122,MATERIALES!$A$2:$I$245,9,0)</f>
        <v>155991</v>
      </c>
      <c r="E122" s="251">
        <f t="shared" si="4"/>
        <v>155991</v>
      </c>
    </row>
    <row r="123" spans="1:6" ht="16.5">
      <c r="A123" s="330" t="s">
        <v>617</v>
      </c>
      <c r="B123" s="250" t="str">
        <f>+VLOOKUP(A123,MATERIALES!$A$2:$I$245,2,0)</f>
        <v xml:space="preserve"> Un</v>
      </c>
      <c r="C123" s="425">
        <v>0.2</v>
      </c>
      <c r="D123" s="252">
        <f>+VLOOKUP(A123,MATERIALES!$A$2:$I$245,9,0)</f>
        <v>19331</v>
      </c>
      <c r="E123" s="251">
        <f t="shared" si="4"/>
        <v>3866.2000000000003</v>
      </c>
      <c r="F123" t="s">
        <v>1121</v>
      </c>
    </row>
    <row r="124" spans="1:6" ht="16.5">
      <c r="A124" s="331" t="s">
        <v>651</v>
      </c>
      <c r="B124" s="250" t="str">
        <f>+VLOOKUP(A124,MATERIALES!$A$2:$I$245,2,0)</f>
        <v>m</v>
      </c>
      <c r="C124" s="425">
        <v>2</v>
      </c>
      <c r="D124" s="252">
        <f>+VLOOKUP(A124,MATERIALES!$A$2:$I$245,9,0)</f>
        <v>5950</v>
      </c>
      <c r="E124" s="251">
        <f t="shared" si="4"/>
        <v>11900</v>
      </c>
    </row>
    <row r="125" spans="1:6" ht="16.5">
      <c r="A125" s="332" t="s">
        <v>676</v>
      </c>
      <c r="B125" s="250" t="str">
        <f>+VLOOKUP(A125,MATERIALES!$A$2:$I$245,2,0)</f>
        <v>m3</v>
      </c>
      <c r="C125" s="425">
        <v>0.15</v>
      </c>
      <c r="D125" s="252">
        <f>+VLOOKUP(A125,MATERIALES!$A$2:$I$245,9,0)</f>
        <v>289800</v>
      </c>
      <c r="E125" s="251">
        <f t="shared" si="4"/>
        <v>43470</v>
      </c>
      <c r="F125" t="s">
        <v>973</v>
      </c>
    </row>
    <row r="126" spans="1:6" ht="16.5">
      <c r="A126" s="329" t="s">
        <v>646</v>
      </c>
      <c r="B126" s="250" t="str">
        <f>+VLOOKUP(A126,MATERIALES!$A$2:$I$245,2,0)</f>
        <v xml:space="preserve"> Un</v>
      </c>
      <c r="C126" s="425">
        <f>+C125+C121</f>
        <v>0.87</v>
      </c>
      <c r="D126" s="252">
        <f>+VLOOKUP(A126,MATERIALES!$A$2:$I$245,9,0)</f>
        <v>34415</v>
      </c>
      <c r="E126" s="251">
        <f t="shared" si="4"/>
        <v>29941.05</v>
      </c>
      <c r="F126" t="s">
        <v>678</v>
      </c>
    </row>
    <row r="127" spans="1:6" ht="16.5">
      <c r="A127" s="329" t="s">
        <v>675</v>
      </c>
      <c r="B127" s="250" t="str">
        <f>+VLOOKUP(A127,MATERIALES!$A$2:$I$245,2,0)</f>
        <v>m3</v>
      </c>
      <c r="C127" s="425">
        <v>0.13500000000000001</v>
      </c>
      <c r="D127" s="252">
        <f>+VLOOKUP(A127,MATERIALES!$A$2:$I$245,9,0)</f>
        <v>35670</v>
      </c>
      <c r="E127" s="251">
        <f t="shared" si="4"/>
        <v>4815.4500000000007</v>
      </c>
      <c r="F127" t="s">
        <v>680</v>
      </c>
    </row>
    <row r="128" spans="1:6" ht="16.5">
      <c r="A128" s="330" t="s">
        <v>639</v>
      </c>
      <c r="B128" s="250" t="str">
        <f>+VLOOKUP(A128,MATERIALES!$A$2:$I$245,2,0)</f>
        <v>rollo</v>
      </c>
      <c r="C128" s="425">
        <v>2E-3</v>
      </c>
      <c r="D128" s="252">
        <f>+VLOOKUP(A128,MATERIALES!$A$2:$I$245,9,0)</f>
        <v>141351</v>
      </c>
      <c r="E128" s="251">
        <f t="shared" si="4"/>
        <v>282.702</v>
      </c>
    </row>
    <row r="129" spans="1:6" ht="16.5">
      <c r="A129" s="333" t="s">
        <v>715</v>
      </c>
      <c r="B129" s="250" t="str">
        <f>+VLOOKUP(A129,MATERIALES!$A$2:$I$245,2,0)</f>
        <v>m3</v>
      </c>
      <c r="C129" s="425">
        <v>0.72</v>
      </c>
      <c r="D129" s="252">
        <f>+VLOOKUP(A129,MATERIALES!$A$2:$I$245,9,0)</f>
        <v>60000</v>
      </c>
      <c r="E129" s="251">
        <f t="shared" si="4"/>
        <v>43200</v>
      </c>
      <c r="F129" t="s">
        <v>713</v>
      </c>
    </row>
    <row r="130" spans="1:6" ht="16.5">
      <c r="A130" s="333" t="s">
        <v>674</v>
      </c>
      <c r="B130" s="250" t="str">
        <f>+VLOOKUP(A130,MATERIALES!$A$2:$I$245,2,0)</f>
        <v>m3</v>
      </c>
      <c r="C130" s="425">
        <v>0.42</v>
      </c>
      <c r="D130" s="252">
        <f>+VLOOKUP(A130,MATERIALES!$A$2:$I$245,9,0)</f>
        <v>43530</v>
      </c>
      <c r="E130" s="251">
        <f>+C130*D130</f>
        <v>18282.599999999999</v>
      </c>
      <c r="F130" t="s">
        <v>680</v>
      </c>
    </row>
    <row r="131" spans="1:6" ht="16.5">
      <c r="A131" s="331" t="s">
        <v>620</v>
      </c>
      <c r="B131" s="250" t="str">
        <f>+VLOOKUP(A131,MATERIALES!$A$2:$I$245,2,0)</f>
        <v>m3</v>
      </c>
      <c r="C131" s="425">
        <v>0.15</v>
      </c>
      <c r="D131" s="252">
        <f>+VLOOKUP(A131,MATERIALES!$A$2:$I$245,9,0)</f>
        <v>420183</v>
      </c>
      <c r="E131" s="251">
        <f t="shared" si="4"/>
        <v>63027.45</v>
      </c>
      <c r="F131" t="s">
        <v>677</v>
      </c>
    </row>
    <row r="132" spans="1:6" ht="16.5">
      <c r="A132" s="334"/>
      <c r="B132" s="250"/>
      <c r="C132" s="335"/>
      <c r="D132" s="252"/>
      <c r="E132" s="251"/>
    </row>
    <row r="133" spans="1:6" ht="16.5">
      <c r="A133" s="883"/>
      <c r="B133" s="884"/>
      <c r="C133" s="884"/>
      <c r="D133" s="884"/>
      <c r="E133" s="885"/>
    </row>
    <row r="134" spans="1:6" ht="16.5">
      <c r="A134" s="880" t="s">
        <v>599</v>
      </c>
      <c r="B134" s="881"/>
      <c r="C134" s="881"/>
      <c r="D134" s="881"/>
      <c r="E134" s="251">
        <f>SUM(E121:E132)</f>
        <v>384543.97200000001</v>
      </c>
    </row>
    <row r="135" spans="1:6" ht="16.5">
      <c r="A135" s="271" t="s">
        <v>600</v>
      </c>
      <c r="B135" s="271"/>
      <c r="C135" s="423">
        <v>1</v>
      </c>
      <c r="D135" s="271"/>
      <c r="E135" s="268">
        <f>+C135*E134*$K$3</f>
        <v>38454.397199999999</v>
      </c>
    </row>
    <row r="136" spans="1:6" ht="16.5">
      <c r="A136" s="289" t="s">
        <v>601</v>
      </c>
      <c r="B136" s="269" t="str">
        <f>+VLOOKUP(A136,MATERIALES!$A$2:$I$245,2,0)</f>
        <v>DIA</v>
      </c>
      <c r="C136" s="423">
        <v>0.2</v>
      </c>
      <c r="D136" s="270">
        <f>+VLOOKUP(A136,MATERIALES!$A$2:$I$245,9,0)</f>
        <v>126080</v>
      </c>
      <c r="E136" s="424">
        <f>+ROUND(C136*D136,0)</f>
        <v>25216</v>
      </c>
    </row>
    <row r="137" spans="1:6" ht="16.5">
      <c r="A137" s="882" t="s">
        <v>602</v>
      </c>
      <c r="B137" s="882"/>
      <c r="C137" s="882"/>
      <c r="D137" s="882"/>
      <c r="E137" s="263">
        <f>+ROUND(SUM(E134:E136),0)</f>
        <v>448214</v>
      </c>
    </row>
    <row r="138" spans="1:6" ht="16.5">
      <c r="A138" s="279"/>
      <c r="B138" s="279"/>
      <c r="C138" s="279"/>
      <c r="D138" s="279"/>
      <c r="E138" s="280"/>
    </row>
    <row r="139" spans="1:6" ht="15" thickBot="1"/>
    <row r="140" spans="1:6" ht="16.5">
      <c r="A140" s="886" t="s">
        <v>684</v>
      </c>
      <c r="B140" s="886"/>
      <c r="C140" s="887"/>
      <c r="D140" s="254" t="s">
        <v>592</v>
      </c>
      <c r="E140" s="255" t="s">
        <v>8</v>
      </c>
    </row>
    <row r="141" spans="1:6" ht="16.5">
      <c r="A141" s="888"/>
      <c r="B141" s="888"/>
      <c r="C141" s="889"/>
      <c r="D141" s="256" t="s">
        <v>593</v>
      </c>
      <c r="E141" s="257"/>
    </row>
    <row r="142" spans="1:6" ht="16.5">
      <c r="A142" s="285" t="s">
        <v>594</v>
      </c>
      <c r="B142" s="247" t="s">
        <v>595</v>
      </c>
      <c r="C142" s="247" t="s">
        <v>596</v>
      </c>
      <c r="D142" s="248" t="s">
        <v>597</v>
      </c>
      <c r="E142" s="249" t="s">
        <v>598</v>
      </c>
    </row>
    <row r="143" spans="1:6" ht="16.5">
      <c r="A143" s="329" t="s">
        <v>650</v>
      </c>
      <c r="B143" s="250" t="str">
        <f>+VLOOKUP(A143,MATERIALES!$A$2:$I$245,2,0)</f>
        <v>m3</v>
      </c>
      <c r="C143" s="425">
        <v>1.3</v>
      </c>
      <c r="D143" s="252">
        <f>+VLOOKUP(A143,MATERIALES!$A$2:$I$245,9,0)</f>
        <v>13566</v>
      </c>
      <c r="E143" s="251">
        <f t="shared" ref="E143:E154" si="5">+C143*D143</f>
        <v>17635.8</v>
      </c>
    </row>
    <row r="144" spans="1:6" ht="27">
      <c r="A144" s="443" t="s">
        <v>955</v>
      </c>
      <c r="B144" s="250" t="str">
        <f>+VLOOKUP(A144,MATERIALES!$A$2:$I$245,2,0)</f>
        <v>Ml</v>
      </c>
      <c r="C144" s="425">
        <v>1</v>
      </c>
      <c r="D144" s="252">
        <f>+VLOOKUP(A144,MATERIALES!$A$2:$I$245,9,0)</f>
        <v>155991</v>
      </c>
      <c r="E144" s="251">
        <f t="shared" si="5"/>
        <v>155991</v>
      </c>
    </row>
    <row r="145" spans="1:6" ht="16.5">
      <c r="A145" s="330" t="s">
        <v>617</v>
      </c>
      <c r="B145" s="250" t="str">
        <f>+VLOOKUP(A145,MATERIALES!$A$2:$I$245,2,0)</f>
        <v xml:space="preserve"> Un</v>
      </c>
      <c r="C145" s="425">
        <v>1.33</v>
      </c>
      <c r="D145" s="252">
        <f>+VLOOKUP(A145,MATERIALES!$A$2:$I$245,9,0)</f>
        <v>19331</v>
      </c>
      <c r="E145" s="251">
        <f t="shared" si="5"/>
        <v>25710.23</v>
      </c>
    </row>
    <row r="146" spans="1:6" ht="16.5">
      <c r="A146" s="331" t="s">
        <v>651</v>
      </c>
      <c r="B146" s="250" t="str">
        <f>+VLOOKUP(A146,MATERIALES!$A$2:$I$245,2,0)</f>
        <v>m</v>
      </c>
      <c r="C146" s="425">
        <v>2</v>
      </c>
      <c r="D146" s="252">
        <f>+VLOOKUP(A146,MATERIALES!$A$2:$I$245,9,0)</f>
        <v>5950</v>
      </c>
      <c r="E146" s="251">
        <f t="shared" si="5"/>
        <v>11900</v>
      </c>
    </row>
    <row r="147" spans="1:6" ht="16.5">
      <c r="A147" s="332" t="s">
        <v>687</v>
      </c>
      <c r="B147" s="250" t="str">
        <f>+VLOOKUP(A147,MATERIALES!$A$2:$I$245,2,0)</f>
        <v>m3</v>
      </c>
      <c r="C147" s="425">
        <v>0.3</v>
      </c>
      <c r="D147" s="252">
        <f>+VLOOKUP(A147,MATERIALES!$A$2:$I$245,9,0)</f>
        <v>289800</v>
      </c>
      <c r="E147" s="251">
        <f t="shared" si="5"/>
        <v>86940</v>
      </c>
      <c r="F147" t="s">
        <v>974</v>
      </c>
    </row>
    <row r="148" spans="1:6" ht="16.5">
      <c r="A148" s="329" t="s">
        <v>646</v>
      </c>
      <c r="B148" s="250" t="str">
        <f>+VLOOKUP(A148,MATERIALES!$A$2:$I$245,2,0)</f>
        <v xml:space="preserve"> Un</v>
      </c>
      <c r="C148" s="425">
        <f>+C147+C143</f>
        <v>1.6</v>
      </c>
      <c r="D148" s="252">
        <f>+VLOOKUP(A148,MATERIALES!$A$2:$I$245,9,0)</f>
        <v>34415</v>
      </c>
      <c r="E148" s="251">
        <f t="shared" si="5"/>
        <v>55064</v>
      </c>
      <c r="F148" t="s">
        <v>688</v>
      </c>
    </row>
    <row r="149" spans="1:6" ht="16.5">
      <c r="A149" s="329" t="s">
        <v>675</v>
      </c>
      <c r="B149" s="250" t="str">
        <f>+VLOOKUP(A149,MATERIALES!$A$2:$I$245,2,0)</f>
        <v>m3</v>
      </c>
      <c r="C149" s="425">
        <v>0.39</v>
      </c>
      <c r="D149" s="252">
        <f>+VLOOKUP(A149,MATERIALES!$A$2:$I$245,9,0)</f>
        <v>35670</v>
      </c>
      <c r="E149" s="251">
        <f t="shared" si="5"/>
        <v>13911.300000000001</v>
      </c>
    </row>
    <row r="150" spans="1:6" ht="16.5">
      <c r="A150" s="330" t="s">
        <v>639</v>
      </c>
      <c r="B150" s="250" t="str">
        <f>+VLOOKUP(A150,MATERIALES!$A$2:$I$245,2,0)</f>
        <v>rollo</v>
      </c>
      <c r="C150" s="425">
        <v>2E-3</v>
      </c>
      <c r="D150" s="252">
        <f>+VLOOKUP(A150,MATERIALES!$A$2:$I$245,9,0)</f>
        <v>141351</v>
      </c>
      <c r="E150" s="251">
        <f t="shared" si="5"/>
        <v>282.702</v>
      </c>
    </row>
    <row r="151" spans="1:6" ht="16.5">
      <c r="A151" s="333" t="s">
        <v>715</v>
      </c>
      <c r="B151" s="250" t="str">
        <f>+VLOOKUP(A151,MATERIALES!$A$2:$I$245,2,0)</f>
        <v>m3</v>
      </c>
      <c r="C151" s="425">
        <v>1.3</v>
      </c>
      <c r="D151" s="252">
        <f>+VLOOKUP(A151,MATERIALES!$A$2:$I$245,9,0)</f>
        <v>60000</v>
      </c>
      <c r="E151" s="251">
        <f t="shared" si="5"/>
        <v>78000</v>
      </c>
      <c r="F151" t="s">
        <v>714</v>
      </c>
    </row>
    <row r="152" spans="1:6" ht="16.5">
      <c r="A152" s="337" t="s">
        <v>670</v>
      </c>
      <c r="B152" s="250" t="str">
        <f>+VLOOKUP(A152,MATERIALES!$A$2:$I$245,2,0)</f>
        <v>m3</v>
      </c>
      <c r="C152" s="425">
        <v>0.4</v>
      </c>
      <c r="D152" s="252">
        <f>+VLOOKUP(A152,MATERIALES!$A$2:$I$245,9,0)</f>
        <v>51994</v>
      </c>
      <c r="E152" s="251">
        <f>+C152*D152</f>
        <v>20797.600000000002</v>
      </c>
    </row>
    <row r="153" spans="1:6" ht="16.5">
      <c r="A153" s="337" t="s">
        <v>672</v>
      </c>
      <c r="B153" s="250" t="str">
        <f>+VLOOKUP(A153,MATERIALES!$A$2:$I$245,2,0)</f>
        <v>m3</v>
      </c>
      <c r="C153" s="425">
        <v>0.4</v>
      </c>
      <c r="D153" s="252">
        <f>+VLOOKUP(A153,MATERIALES!$A$2:$I$245,9,0)</f>
        <v>46843</v>
      </c>
      <c r="E153" s="251">
        <f>+C153*D153</f>
        <v>18737.2</v>
      </c>
    </row>
    <row r="154" spans="1:6" ht="16.5">
      <c r="A154" s="337" t="s">
        <v>686</v>
      </c>
      <c r="B154" s="250" t="str">
        <f>+VLOOKUP(A154,MATERIALES!$A$2:$I$245,2,0)</f>
        <v>m3</v>
      </c>
      <c r="C154" s="425">
        <v>0.3</v>
      </c>
      <c r="D154" s="252">
        <f>+VLOOKUP(A154,MATERIALES!$A$2:$I$245,9,0)</f>
        <v>457062</v>
      </c>
      <c r="E154" s="251">
        <f t="shared" si="5"/>
        <v>137118.6</v>
      </c>
      <c r="F154" t="s">
        <v>974</v>
      </c>
    </row>
    <row r="155" spans="1:6" ht="16.5">
      <c r="A155" s="334"/>
      <c r="B155" s="250"/>
      <c r="C155" s="335"/>
      <c r="D155" s="252"/>
      <c r="E155" s="251"/>
    </row>
    <row r="156" spans="1:6" ht="16.5">
      <c r="A156" s="883"/>
      <c r="B156" s="884"/>
      <c r="C156" s="884"/>
      <c r="D156" s="884"/>
      <c r="E156" s="885"/>
    </row>
    <row r="157" spans="1:6" ht="16.5">
      <c r="A157" s="880" t="s">
        <v>599</v>
      </c>
      <c r="B157" s="881"/>
      <c r="C157" s="881"/>
      <c r="D157" s="881"/>
      <c r="E157" s="251">
        <f>SUM(E143:E155)</f>
        <v>622088.43200000003</v>
      </c>
    </row>
    <row r="158" spans="1:6" ht="16.5">
      <c r="A158" s="271" t="s">
        <v>600</v>
      </c>
      <c r="B158" s="271"/>
      <c r="C158" s="423">
        <v>1</v>
      </c>
      <c r="D158" s="271"/>
      <c r="E158" s="268">
        <f>+C158*E157*$K$3</f>
        <v>62208.843200000003</v>
      </c>
    </row>
    <row r="159" spans="1:6" ht="16.5">
      <c r="A159" s="289" t="s">
        <v>601</v>
      </c>
      <c r="B159" s="269" t="str">
        <f>+VLOOKUP(A159,MATERIALES!$A$2:$I$245,2,0)</f>
        <v>DIA</v>
      </c>
      <c r="C159" s="423">
        <v>0.2</v>
      </c>
      <c r="D159" s="270">
        <f>+VLOOKUP(A159,MATERIALES!$A$2:$I$245,9,0)</f>
        <v>126080</v>
      </c>
      <c r="E159" s="424">
        <f>+ROUND(C159*D159,0)</f>
        <v>25216</v>
      </c>
    </row>
    <row r="160" spans="1:6" ht="16.5">
      <c r="A160" s="882" t="s">
        <v>602</v>
      </c>
      <c r="B160" s="882"/>
      <c r="C160" s="882"/>
      <c r="D160" s="882"/>
      <c r="E160" s="263">
        <f>+ROUND(SUM(E157:E159),0)</f>
        <v>709513</v>
      </c>
    </row>
    <row r="162" spans="1:5" ht="15" thickBot="1"/>
    <row r="163" spans="1:5" ht="16.5">
      <c r="A163" s="886" t="s">
        <v>833</v>
      </c>
      <c r="B163" s="886"/>
      <c r="C163" s="887"/>
      <c r="D163" s="254" t="s">
        <v>592</v>
      </c>
      <c r="E163" s="255" t="s">
        <v>8</v>
      </c>
    </row>
    <row r="164" spans="1:5" ht="16.5">
      <c r="A164" s="888"/>
      <c r="B164" s="888"/>
      <c r="C164" s="889"/>
      <c r="D164" s="256" t="s">
        <v>593</v>
      </c>
      <c r="E164" s="257"/>
    </row>
    <row r="165" spans="1:5" ht="16.5">
      <c r="A165" s="290" t="s">
        <v>594</v>
      </c>
      <c r="B165" s="247" t="s">
        <v>595</v>
      </c>
      <c r="C165" s="247" t="s">
        <v>596</v>
      </c>
      <c r="D165" s="248" t="s">
        <v>597</v>
      </c>
      <c r="E165" s="249" t="s">
        <v>598</v>
      </c>
    </row>
    <row r="166" spans="1:5" ht="25.5">
      <c r="A166" s="450" t="s">
        <v>959</v>
      </c>
      <c r="B166" s="250" t="str">
        <f>+VLOOKUP(A166,MATERIALES!$A$2:$I$245,2,0)</f>
        <v>ml</v>
      </c>
      <c r="C166" s="258">
        <v>3</v>
      </c>
      <c r="D166" s="252">
        <f>+VLOOKUP(A166,MATERIALES!$A$2:$I$245,9,0)</f>
        <v>30892</v>
      </c>
      <c r="E166" s="251">
        <f>+C166*D166</f>
        <v>92676</v>
      </c>
    </row>
    <row r="167" spans="1:5" ht="16.5">
      <c r="A167" s="287"/>
      <c r="B167" s="250"/>
      <c r="C167" s="258"/>
      <c r="D167" s="252"/>
      <c r="E167" s="251"/>
    </row>
    <row r="168" spans="1:5" ht="16.5">
      <c r="A168" s="264"/>
      <c r="B168" s="265"/>
      <c r="C168" s="266"/>
      <c r="D168" s="267"/>
      <c r="E168" s="268"/>
    </row>
    <row r="169" spans="1:5" ht="16.5">
      <c r="A169" s="883"/>
      <c r="B169" s="884"/>
      <c r="C169" s="884"/>
      <c r="D169" s="884"/>
      <c r="E169" s="885"/>
    </row>
    <row r="170" spans="1:5" ht="16.5">
      <c r="A170" s="880" t="s">
        <v>599</v>
      </c>
      <c r="B170" s="881"/>
      <c r="C170" s="881"/>
      <c r="D170" s="881"/>
      <c r="E170" s="251">
        <f>SUM(E166:E167)</f>
        <v>92676</v>
      </c>
    </row>
    <row r="171" spans="1:5" ht="16.5">
      <c r="A171" s="271" t="s">
        <v>600</v>
      </c>
      <c r="B171" s="271"/>
      <c r="C171" s="423">
        <v>1</v>
      </c>
      <c r="D171" s="271"/>
      <c r="E171" s="268">
        <f>+C171*E170*$K$3</f>
        <v>9267.6</v>
      </c>
    </row>
    <row r="172" spans="1:5" ht="16.5">
      <c r="A172" s="289" t="s">
        <v>601</v>
      </c>
      <c r="B172" s="269" t="str">
        <f>+VLOOKUP(A172,MATERIALES!$A$2:$I$245,2,0)</f>
        <v>DIA</v>
      </c>
      <c r="C172" s="426">
        <v>0</v>
      </c>
      <c r="D172" s="270">
        <f>+VLOOKUP(A172,MATERIALES!$A$2:$I$245,9,0)</f>
        <v>126080</v>
      </c>
      <c r="E172" s="424">
        <f>+ROUND(C172*D172,0)</f>
        <v>0</v>
      </c>
    </row>
    <row r="173" spans="1:5" ht="16.5">
      <c r="A173" s="895" t="s">
        <v>602</v>
      </c>
      <c r="B173" s="895"/>
      <c r="C173" s="895"/>
      <c r="D173" s="895"/>
      <c r="E173" s="263">
        <f>+ROUND(SUM(E170:E172),0)</f>
        <v>101944</v>
      </c>
    </row>
    <row r="174" spans="1:5" ht="16.5">
      <c r="A174" s="279"/>
      <c r="B174" s="279"/>
      <c r="C174" s="279"/>
      <c r="D174" s="279"/>
      <c r="E174" s="280"/>
    </row>
    <row r="175" spans="1:5" ht="16.5">
      <c r="A175" s="279"/>
      <c r="B175" s="279"/>
      <c r="C175" s="279"/>
      <c r="D175" s="279"/>
      <c r="E175" s="280"/>
    </row>
    <row r="176" spans="1:5" ht="16.5">
      <c r="A176" s="894" t="s">
        <v>636</v>
      </c>
      <c r="B176" s="894"/>
      <c r="C176" s="894"/>
      <c r="D176" s="281" t="s">
        <v>592</v>
      </c>
      <c r="E176" s="282" t="s">
        <v>8</v>
      </c>
    </row>
    <row r="177" spans="1:5" ht="16.5">
      <c r="A177" s="894"/>
      <c r="B177" s="894"/>
      <c r="C177" s="894"/>
      <c r="D177" s="281" t="s">
        <v>593</v>
      </c>
      <c r="E177" s="283"/>
    </row>
    <row r="178" spans="1:5" ht="16.5">
      <c r="A178" s="291" t="s">
        <v>594</v>
      </c>
      <c r="B178" s="248" t="s">
        <v>595</v>
      </c>
      <c r="C178" s="248" t="s">
        <v>596</v>
      </c>
      <c r="D178" s="248" t="s">
        <v>597</v>
      </c>
      <c r="E178" s="249" t="s">
        <v>598</v>
      </c>
    </row>
    <row r="179" spans="1:5" ht="16.5">
      <c r="A179" s="277" t="s">
        <v>637</v>
      </c>
      <c r="B179" s="250" t="str">
        <f>+VLOOKUP(A179,MATERIALES!$A$2:$I$245,2,0)</f>
        <v xml:space="preserve"> Un</v>
      </c>
      <c r="C179" s="258">
        <v>3</v>
      </c>
      <c r="D179" s="252">
        <f>+VLOOKUP(A179,MATERIALES!$A$2:$I$245,9,0)</f>
        <v>146700</v>
      </c>
      <c r="E179" s="251">
        <f>+C179*D179</f>
        <v>440100</v>
      </c>
    </row>
    <row r="180" spans="1:5" ht="16.5">
      <c r="A180" s="284" t="s">
        <v>635</v>
      </c>
      <c r="B180" s="250" t="str">
        <f>+VLOOKUP(A180,MATERIALES!$A$2:$I$245,2,0)</f>
        <v xml:space="preserve"> Un</v>
      </c>
      <c r="C180" s="258">
        <v>3</v>
      </c>
      <c r="D180" s="252">
        <f>+VLOOKUP(A180,MATERIALES!$A$2:$I$245,9,0)</f>
        <v>9705</v>
      </c>
      <c r="E180" s="251">
        <f>+C180*D180</f>
        <v>29115</v>
      </c>
    </row>
    <row r="181" spans="1:5" ht="16.5">
      <c r="A181" s="294" t="s">
        <v>640</v>
      </c>
      <c r="B181" s="250" t="str">
        <f>+VLOOKUP(A181,MATERIALES!$A$2:$I$245,2,0)</f>
        <v xml:space="preserve"> Un</v>
      </c>
      <c r="C181" s="258">
        <v>1</v>
      </c>
      <c r="D181" s="252">
        <f>+VLOOKUP(A181,MATERIALES!$A$2:$I$245,9,0)</f>
        <v>60851</v>
      </c>
      <c r="E181" s="251">
        <f>+C181*D181</f>
        <v>60851</v>
      </c>
    </row>
    <row r="182" spans="1:5" ht="16.5">
      <c r="A182" s="278" t="s">
        <v>625</v>
      </c>
      <c r="B182" s="250" t="str">
        <f>+VLOOKUP(A182,MATERIALES!$A$2:$I$245,2,0)</f>
        <v xml:space="preserve"> Un</v>
      </c>
      <c r="C182" s="258">
        <v>2</v>
      </c>
      <c r="D182" s="252">
        <f>+VLOOKUP(A182,MATERIALES!$A$2:$I$245,9,0)</f>
        <v>15250</v>
      </c>
      <c r="E182" s="251">
        <f>+C182*D182</f>
        <v>30500</v>
      </c>
    </row>
    <row r="183" spans="1:5" ht="16.5">
      <c r="A183" s="278" t="s">
        <v>626</v>
      </c>
      <c r="B183" s="250" t="str">
        <f>+VLOOKUP(A183,MATERIALES!$A$2:$I$245,2,0)</f>
        <v xml:space="preserve"> Un</v>
      </c>
      <c r="C183" s="258">
        <v>1</v>
      </c>
      <c r="D183" s="252">
        <f>+VLOOKUP(A183,MATERIALES!$A$2:$I$245,9,0)</f>
        <v>33540</v>
      </c>
      <c r="E183" s="251">
        <f>+C183*D183</f>
        <v>33540</v>
      </c>
    </row>
    <row r="184" spans="1:5" ht="16.5">
      <c r="A184" s="278"/>
      <c r="B184" s="250"/>
      <c r="C184" s="258"/>
      <c r="D184" s="252"/>
      <c r="E184" s="251"/>
    </row>
    <row r="185" spans="1:5" ht="16.5">
      <c r="A185" s="264"/>
      <c r="B185" s="265"/>
      <c r="C185" s="266"/>
      <c r="D185" s="267"/>
      <c r="E185" s="268"/>
    </row>
    <row r="186" spans="1:5" ht="16.5">
      <c r="A186" s="883"/>
      <c r="B186" s="884"/>
      <c r="C186" s="884"/>
      <c r="D186" s="884"/>
      <c r="E186" s="885"/>
    </row>
    <row r="187" spans="1:5" ht="16.5">
      <c r="A187" s="880" t="s">
        <v>599</v>
      </c>
      <c r="B187" s="881"/>
      <c r="C187" s="881"/>
      <c r="D187" s="881"/>
      <c r="E187" s="251">
        <f>SUM(E179:E184)</f>
        <v>594106</v>
      </c>
    </row>
    <row r="188" spans="1:5" ht="16.5">
      <c r="A188" s="271" t="s">
        <v>600</v>
      </c>
      <c r="B188" s="271"/>
      <c r="C188" s="423">
        <v>0.5</v>
      </c>
      <c r="D188" s="271"/>
      <c r="E188" s="268">
        <f>+C188*E187*$K$3</f>
        <v>29705.300000000003</v>
      </c>
    </row>
    <row r="189" spans="1:5" ht="16.5">
      <c r="A189" s="289" t="s">
        <v>601</v>
      </c>
      <c r="B189" s="269" t="str">
        <f>+VLOOKUP(A189,MATERIALES!$A$2:$I$245,2,0)</f>
        <v>DIA</v>
      </c>
      <c r="C189" s="426">
        <v>1.2</v>
      </c>
      <c r="D189" s="270">
        <f>+VLOOKUP(A189,MATERIALES!$A$2:$I$245,9,0)</f>
        <v>126080</v>
      </c>
      <c r="E189" s="424">
        <f>+ROUND(C189*D189,0)</f>
        <v>151296</v>
      </c>
    </row>
    <row r="190" spans="1:5" ht="16.5">
      <c r="A190" s="882" t="s">
        <v>602</v>
      </c>
      <c r="B190" s="882"/>
      <c r="C190" s="882"/>
      <c r="D190" s="882"/>
      <c r="E190" s="263">
        <f>+ROUND(SUM(E187:E189),0)</f>
        <v>775107</v>
      </c>
    </row>
    <row r="192" spans="1:5" ht="15" thickBot="1"/>
    <row r="193" spans="1:5" ht="16.5">
      <c r="A193" s="886" t="s">
        <v>629</v>
      </c>
      <c r="B193" s="886"/>
      <c r="C193" s="887"/>
      <c r="D193" s="254" t="s">
        <v>592</v>
      </c>
      <c r="E193" s="255" t="s">
        <v>8</v>
      </c>
    </row>
    <row r="194" spans="1:5" ht="16.5">
      <c r="A194" s="888"/>
      <c r="B194" s="888"/>
      <c r="C194" s="889"/>
      <c r="D194" s="256" t="s">
        <v>593</v>
      </c>
      <c r="E194" s="257"/>
    </row>
    <row r="195" spans="1:5" ht="16.5">
      <c r="A195" s="293" t="s">
        <v>594</v>
      </c>
      <c r="B195" s="247" t="s">
        <v>595</v>
      </c>
      <c r="C195" s="247" t="s">
        <v>596</v>
      </c>
      <c r="D195" s="248" t="s">
        <v>597</v>
      </c>
      <c r="E195" s="249" t="s">
        <v>598</v>
      </c>
    </row>
    <row r="196" spans="1:5" ht="16.5">
      <c r="A196" s="284" t="s">
        <v>632</v>
      </c>
      <c r="B196" s="250" t="str">
        <f>+VLOOKUP(A196,MATERIALES!$A$2:$I$245,2,0)</f>
        <v>m</v>
      </c>
      <c r="C196" s="258">
        <v>12</v>
      </c>
      <c r="D196" s="252">
        <f>+VLOOKUP(A196,MATERIALES!$A$2:$I$245,9,0)</f>
        <v>7756</v>
      </c>
      <c r="E196" s="251">
        <f t="shared" ref="E196:E201" si="6">+C196*D196</f>
        <v>93072</v>
      </c>
    </row>
    <row r="197" spans="1:5" ht="16.5">
      <c r="A197" s="278" t="s">
        <v>649</v>
      </c>
      <c r="B197" s="250" t="str">
        <f>+VLOOKUP(A197,MATERIALES!$A$2:$I$245,2,0)</f>
        <v>tubo</v>
      </c>
      <c r="C197" s="258">
        <v>3</v>
      </c>
      <c r="D197" s="252">
        <f>+VLOOKUP(A197,MATERIALES!$A$2:$I$245,9,0)</f>
        <v>32100</v>
      </c>
      <c r="E197" s="251">
        <f t="shared" si="6"/>
        <v>96300</v>
      </c>
    </row>
    <row r="198" spans="1:5" ht="16.5">
      <c r="A198" s="278" t="s">
        <v>618</v>
      </c>
      <c r="B198" s="250" t="str">
        <f>+VLOOKUP(A198,MATERIALES!$A$2:$I$245,2,0)</f>
        <v>m</v>
      </c>
      <c r="C198" s="258">
        <v>2</v>
      </c>
      <c r="D198" s="252">
        <f>+VLOOKUP(A198,MATERIALES!$A$2:$I$245,9,0)</f>
        <v>1750</v>
      </c>
      <c r="E198" s="251">
        <f t="shared" si="6"/>
        <v>3500</v>
      </c>
    </row>
    <row r="199" spans="1:5" ht="16.5">
      <c r="A199" s="278" t="s">
        <v>619</v>
      </c>
      <c r="B199" s="250" t="str">
        <f>+VLOOKUP(A199,MATERIALES!$A$2:$I$245,2,0)</f>
        <v xml:space="preserve"> Un</v>
      </c>
      <c r="C199" s="258">
        <v>2</v>
      </c>
      <c r="D199" s="252">
        <f>+VLOOKUP(A199,MATERIALES!$A$2:$I$245,9,0)</f>
        <v>400</v>
      </c>
      <c r="E199" s="251">
        <f t="shared" si="6"/>
        <v>800</v>
      </c>
    </row>
    <row r="200" spans="1:5" ht="16.5">
      <c r="A200" s="287" t="s">
        <v>812</v>
      </c>
      <c r="B200" s="250" t="str">
        <f>+VLOOKUP(A200,MATERIALES!$A$2:$I$245,2,0)</f>
        <v xml:space="preserve"> Un</v>
      </c>
      <c r="C200" s="258">
        <v>1</v>
      </c>
      <c r="D200" s="252">
        <f>+VLOOKUP(A200,MATERIALES!$A$2:$I$245,9,0)</f>
        <v>147527</v>
      </c>
      <c r="E200" s="251">
        <f t="shared" si="6"/>
        <v>147527</v>
      </c>
    </row>
    <row r="201" spans="1:5" ht="16.5">
      <c r="A201" s="278" t="s">
        <v>627</v>
      </c>
      <c r="B201" s="250" t="str">
        <f>+VLOOKUP(A201,MATERIALES!$A$2:$I$245,2,0)</f>
        <v xml:space="preserve"> Un</v>
      </c>
      <c r="C201" s="258">
        <v>1</v>
      </c>
      <c r="D201" s="252">
        <f>+VLOOKUP(A201,MATERIALES!$A$2:$I$245,9,0)</f>
        <v>14550</v>
      </c>
      <c r="E201" s="251">
        <f t="shared" si="6"/>
        <v>14550</v>
      </c>
    </row>
    <row r="202" spans="1:5" ht="16.5">
      <c r="A202" s="278"/>
      <c r="B202" s="250"/>
      <c r="C202" s="258"/>
      <c r="D202" s="252"/>
      <c r="E202" s="251"/>
    </row>
    <row r="203" spans="1:5" ht="16.5">
      <c r="A203" s="264"/>
      <c r="B203" s="265"/>
      <c r="C203" s="266"/>
      <c r="D203" s="267"/>
      <c r="E203" s="268"/>
    </row>
    <row r="204" spans="1:5" ht="16.5">
      <c r="A204" s="883"/>
      <c r="B204" s="884"/>
      <c r="C204" s="884"/>
      <c r="D204" s="884"/>
      <c r="E204" s="885"/>
    </row>
    <row r="205" spans="1:5" ht="16.5">
      <c r="A205" s="880" t="s">
        <v>599</v>
      </c>
      <c r="B205" s="881"/>
      <c r="C205" s="881"/>
      <c r="D205" s="881"/>
      <c r="E205" s="251">
        <f>SUM(E196:E202)</f>
        <v>355749</v>
      </c>
    </row>
    <row r="206" spans="1:5" ht="16.5">
      <c r="A206" s="271" t="s">
        <v>600</v>
      </c>
      <c r="B206" s="271"/>
      <c r="C206" s="423">
        <v>0.5</v>
      </c>
      <c r="D206" s="271"/>
      <c r="E206" s="268">
        <f>+C206*E205*$K$3</f>
        <v>17787.45</v>
      </c>
    </row>
    <row r="207" spans="1:5" ht="16.5">
      <c r="A207" s="289" t="s">
        <v>601</v>
      </c>
      <c r="B207" s="269" t="str">
        <f>+VLOOKUP(A207,MATERIALES!$A$2:$I$245,2,0)</f>
        <v>DIA</v>
      </c>
      <c r="C207" s="426">
        <v>0.7</v>
      </c>
      <c r="D207" s="270">
        <f>+VLOOKUP(A207,MATERIALES!$A$2:$I$245,9,0)</f>
        <v>126080</v>
      </c>
      <c r="E207" s="424">
        <f>+ROUND(C207*D207,0)</f>
        <v>88256</v>
      </c>
    </row>
    <row r="208" spans="1:5" ht="16.5">
      <c r="A208" s="882" t="s">
        <v>602</v>
      </c>
      <c r="B208" s="882"/>
      <c r="C208" s="882"/>
      <c r="D208" s="882"/>
      <c r="E208" s="263">
        <f>+ROUND(SUM(E205:E207),0)</f>
        <v>461792</v>
      </c>
    </row>
    <row r="210" spans="1:5" ht="15" thickBot="1"/>
    <row r="211" spans="1:5" ht="16.5">
      <c r="A211" s="886" t="s">
        <v>666</v>
      </c>
      <c r="B211" s="886"/>
      <c r="C211" s="887"/>
      <c r="D211" s="254" t="s">
        <v>592</v>
      </c>
      <c r="E211" s="255" t="s">
        <v>8</v>
      </c>
    </row>
    <row r="212" spans="1:5" ht="16.5">
      <c r="A212" s="888"/>
      <c r="B212" s="888"/>
      <c r="C212" s="889"/>
      <c r="D212" s="256" t="s">
        <v>593</v>
      </c>
      <c r="E212" s="257"/>
    </row>
    <row r="213" spans="1:5" ht="16.5">
      <c r="A213" s="293" t="s">
        <v>594</v>
      </c>
      <c r="B213" s="247" t="s">
        <v>595</v>
      </c>
      <c r="C213" s="247" t="s">
        <v>596</v>
      </c>
      <c r="D213" s="248" t="s">
        <v>597</v>
      </c>
      <c r="E213" s="249" t="s">
        <v>598</v>
      </c>
    </row>
    <row r="214" spans="1:5" ht="16.5">
      <c r="A214" s="488" t="s">
        <v>1092</v>
      </c>
      <c r="B214" s="250" t="str">
        <f>+VLOOKUP(A214,MATERIALES!$A$2:$I$245,2,0)</f>
        <v xml:space="preserve"> Un</v>
      </c>
      <c r="C214" s="296">
        <v>1</v>
      </c>
      <c r="D214" s="252">
        <f>+VLOOKUP(A214,MATERIALES!$A$2:$I$245,9,0)</f>
        <v>130900</v>
      </c>
      <c r="E214" s="251">
        <f>+C214*D214</f>
        <v>130900</v>
      </c>
    </row>
    <row r="215" spans="1:5" ht="16.5">
      <c r="A215" s="292"/>
      <c r="B215" s="250"/>
      <c r="C215" s="258"/>
      <c r="D215" s="252"/>
      <c r="E215" s="251"/>
    </row>
    <row r="216" spans="1:5" ht="16.5">
      <c r="A216" s="264"/>
      <c r="B216" s="265"/>
      <c r="C216" s="266"/>
      <c r="D216" s="267"/>
      <c r="E216" s="268"/>
    </row>
    <row r="217" spans="1:5" ht="16.5">
      <c r="A217" s="883"/>
      <c r="B217" s="884"/>
      <c r="C217" s="884"/>
      <c r="D217" s="884"/>
      <c r="E217" s="885"/>
    </row>
    <row r="218" spans="1:5" ht="16.5">
      <c r="A218" s="880" t="s">
        <v>599</v>
      </c>
      <c r="B218" s="881"/>
      <c r="C218" s="881"/>
      <c r="D218" s="881"/>
      <c r="E218" s="251">
        <f>SUM(E214:E215)</f>
        <v>130900</v>
      </c>
    </row>
    <row r="219" spans="1:5" ht="16.5">
      <c r="A219" s="271" t="s">
        <v>600</v>
      </c>
      <c r="B219" s="271"/>
      <c r="C219" s="423">
        <v>0</v>
      </c>
      <c r="D219" s="271"/>
      <c r="E219" s="268">
        <f>+C219*E218*$K$3</f>
        <v>0</v>
      </c>
    </row>
    <row r="220" spans="1:5" ht="16.5">
      <c r="A220" s="289" t="s">
        <v>601</v>
      </c>
      <c r="B220" s="269" t="str">
        <f>+VLOOKUP(A220,MATERIALES!$A$2:$I$245,2,0)</f>
        <v>DIA</v>
      </c>
      <c r="C220" s="426">
        <v>0</v>
      </c>
      <c r="D220" s="270">
        <f>+VLOOKUP(A220,MATERIALES!$A$2:$I$245,9,0)</f>
        <v>126080</v>
      </c>
      <c r="E220" s="424">
        <f>+ROUND(C220*D220,0)</f>
        <v>0</v>
      </c>
    </row>
    <row r="221" spans="1:5" ht="16.5">
      <c r="A221" s="882" t="s">
        <v>602</v>
      </c>
      <c r="B221" s="882"/>
      <c r="C221" s="882"/>
      <c r="D221" s="882"/>
      <c r="E221" s="263">
        <f>+ROUND(SUM(E218:E220),0)</f>
        <v>130900</v>
      </c>
    </row>
    <row r="223" spans="1:5" ht="15" thickBot="1"/>
    <row r="224" spans="1:5" ht="16.5">
      <c r="A224" s="886" t="s">
        <v>657</v>
      </c>
      <c r="B224" s="886"/>
      <c r="C224" s="887"/>
      <c r="D224" s="254" t="s">
        <v>592</v>
      </c>
      <c r="E224" s="255" t="s">
        <v>8</v>
      </c>
    </row>
    <row r="225" spans="1:5" ht="16.5">
      <c r="A225" s="888"/>
      <c r="B225" s="888"/>
      <c r="C225" s="889"/>
      <c r="D225" s="256" t="s">
        <v>593</v>
      </c>
      <c r="E225" s="257"/>
    </row>
    <row r="226" spans="1:5" ht="16.5">
      <c r="A226" s="293" t="s">
        <v>594</v>
      </c>
      <c r="B226" s="247" t="s">
        <v>595</v>
      </c>
      <c r="C226" s="247" t="s">
        <v>596</v>
      </c>
      <c r="D226" s="248" t="s">
        <v>597</v>
      </c>
      <c r="E226" s="249" t="s">
        <v>598</v>
      </c>
    </row>
    <row r="227" spans="1:5" ht="25.5">
      <c r="A227" s="450" t="s">
        <v>968</v>
      </c>
      <c r="B227" s="250" t="str">
        <f>+VLOOKUP(A227,MATERIALES!$A$2:$I$245,2,0)</f>
        <v>ml</v>
      </c>
      <c r="C227" s="297">
        <v>3</v>
      </c>
      <c r="D227" s="252">
        <f>+VLOOKUP(A227,MATERIALES!$A$2:$I$245,9,0)</f>
        <v>2645</v>
      </c>
      <c r="E227" s="251">
        <f>+C227*D227</f>
        <v>7935</v>
      </c>
    </row>
    <row r="228" spans="1:5" ht="16.5">
      <c r="A228" s="278"/>
      <c r="B228" s="250"/>
      <c r="C228" s="258"/>
      <c r="D228" s="252"/>
      <c r="E228" s="251"/>
    </row>
    <row r="229" spans="1:5" ht="16.5">
      <c r="A229" s="292"/>
      <c r="B229" s="250"/>
      <c r="C229" s="258"/>
      <c r="D229" s="252"/>
      <c r="E229" s="251"/>
    </row>
    <row r="230" spans="1:5" ht="16.5">
      <c r="A230" s="264"/>
      <c r="B230" s="265"/>
      <c r="C230" s="266"/>
      <c r="D230" s="267"/>
      <c r="E230" s="268"/>
    </row>
    <row r="231" spans="1:5" ht="16.5">
      <c r="A231" s="883"/>
      <c r="B231" s="884"/>
      <c r="C231" s="884"/>
      <c r="D231" s="884"/>
      <c r="E231" s="885"/>
    </row>
    <row r="232" spans="1:5" ht="16.5">
      <c r="A232" s="880" t="s">
        <v>599</v>
      </c>
      <c r="B232" s="881"/>
      <c r="C232" s="881"/>
      <c r="D232" s="881"/>
      <c r="E232" s="251">
        <f>SUM(E227:E229)</f>
        <v>7935</v>
      </c>
    </row>
    <row r="233" spans="1:5" ht="16.5">
      <c r="A233" s="271" t="s">
        <v>600</v>
      </c>
      <c r="B233" s="271"/>
      <c r="C233" s="423">
        <v>0</v>
      </c>
      <c r="D233" s="271"/>
      <c r="E233" s="268">
        <f>+C233*E232*$K$3</f>
        <v>0</v>
      </c>
    </row>
    <row r="234" spans="1:5" ht="16.5">
      <c r="A234" s="289" t="s">
        <v>601</v>
      </c>
      <c r="B234" s="269" t="str">
        <f>+VLOOKUP(A234,MATERIALES!$A$2:$I$245,2,0)</f>
        <v>DIA</v>
      </c>
      <c r="C234" s="426">
        <v>0</v>
      </c>
      <c r="D234" s="270">
        <f>+VLOOKUP(A234,MATERIALES!$A$2:$I$245,9,0)</f>
        <v>126080</v>
      </c>
      <c r="E234" s="424">
        <f>+ROUND(C234*D234,0)</f>
        <v>0</v>
      </c>
    </row>
    <row r="235" spans="1:5" ht="16.5">
      <c r="A235" s="882" t="s">
        <v>602</v>
      </c>
      <c r="B235" s="882"/>
      <c r="C235" s="882"/>
      <c r="D235" s="882"/>
      <c r="E235" s="263">
        <f>+ROUND(SUM(E232:E234),0)</f>
        <v>7935</v>
      </c>
    </row>
    <row r="237" spans="1:5" ht="15" thickBot="1"/>
    <row r="238" spans="1:5" ht="16.5">
      <c r="A238" s="886" t="s">
        <v>914</v>
      </c>
      <c r="B238" s="886"/>
      <c r="C238" s="887"/>
      <c r="D238" s="254" t="s">
        <v>592</v>
      </c>
      <c r="E238" s="255" t="s">
        <v>8</v>
      </c>
    </row>
    <row r="239" spans="1:5" ht="16.5">
      <c r="A239" s="888"/>
      <c r="B239" s="888"/>
      <c r="C239" s="889"/>
      <c r="D239" s="256" t="s">
        <v>593</v>
      </c>
      <c r="E239" s="257"/>
    </row>
    <row r="240" spans="1:5" ht="16.5">
      <c r="A240" s="293" t="s">
        <v>594</v>
      </c>
      <c r="B240" s="247" t="s">
        <v>595</v>
      </c>
      <c r="C240" s="247" t="s">
        <v>596</v>
      </c>
      <c r="D240" s="248" t="s">
        <v>597</v>
      </c>
      <c r="E240" s="249" t="s">
        <v>598</v>
      </c>
    </row>
    <row r="241" spans="1:5" ht="16.5">
      <c r="A241" s="278" t="s">
        <v>1093</v>
      </c>
      <c r="B241" s="250" t="str">
        <f>+VLOOKUP(A241,MATERIALES!$A$2:$I$245,2,0)</f>
        <v>ml</v>
      </c>
      <c r="C241" s="297">
        <v>3</v>
      </c>
      <c r="D241" s="252">
        <f>+VLOOKUP(A241,MATERIALES!$A$2:$I$245,9,0)</f>
        <v>7935</v>
      </c>
      <c r="E241" s="251">
        <f>+C241*D241</f>
        <v>23805</v>
      </c>
    </row>
    <row r="242" spans="1:5" ht="16.5">
      <c r="A242" s="278"/>
      <c r="B242" s="250"/>
      <c r="C242" s="258"/>
      <c r="D242" s="252"/>
      <c r="E242" s="251"/>
    </row>
    <row r="243" spans="1:5" ht="16.5">
      <c r="A243" s="264"/>
      <c r="B243" s="265"/>
      <c r="C243" s="266"/>
      <c r="D243" s="267"/>
      <c r="E243" s="268"/>
    </row>
    <row r="244" spans="1:5" ht="16.5">
      <c r="A244" s="883"/>
      <c r="B244" s="884"/>
      <c r="C244" s="884"/>
      <c r="D244" s="884"/>
      <c r="E244" s="885"/>
    </row>
    <row r="245" spans="1:5" ht="16.5">
      <c r="A245" s="880" t="s">
        <v>599</v>
      </c>
      <c r="B245" s="881"/>
      <c r="C245" s="881"/>
      <c r="D245" s="881"/>
      <c r="E245" s="251">
        <f>SUM(E241:E242)</f>
        <v>23805</v>
      </c>
    </row>
    <row r="246" spans="1:5" ht="16.5">
      <c r="A246" s="271" t="s">
        <v>600</v>
      </c>
      <c r="B246" s="271"/>
      <c r="C246" s="423">
        <v>0</v>
      </c>
      <c r="D246" s="271"/>
      <c r="E246" s="268">
        <f>+C246*E245*$K$3</f>
        <v>0</v>
      </c>
    </row>
    <row r="247" spans="1:5" ht="16.5">
      <c r="A247" s="289" t="s">
        <v>601</v>
      </c>
      <c r="B247" s="269" t="str">
        <f>+VLOOKUP(A247,MATERIALES!$A$2:$I$245,2,0)</f>
        <v>DIA</v>
      </c>
      <c r="C247" s="426">
        <v>0</v>
      </c>
      <c r="D247" s="270">
        <f>+VLOOKUP(A247,MATERIALES!$A$2:$I$245,9,0)</f>
        <v>126080</v>
      </c>
      <c r="E247" s="424">
        <f>+ROUND(C247*D247,0)</f>
        <v>0</v>
      </c>
    </row>
    <row r="248" spans="1:5" ht="16.5">
      <c r="A248" s="882" t="s">
        <v>602</v>
      </c>
      <c r="B248" s="882"/>
      <c r="C248" s="882"/>
      <c r="D248" s="882"/>
      <c r="E248" s="263">
        <f>+ROUND(SUM(E245:E247),0)</f>
        <v>23805</v>
      </c>
    </row>
    <row r="251" spans="1:5" ht="15" thickBot="1"/>
    <row r="252" spans="1:5" ht="16.5">
      <c r="A252" s="886" t="s">
        <v>659</v>
      </c>
      <c r="B252" s="886"/>
      <c r="C252" s="887"/>
      <c r="D252" s="254" t="s">
        <v>592</v>
      </c>
      <c r="E252" s="255" t="s">
        <v>8</v>
      </c>
    </row>
    <row r="253" spans="1:5" ht="16.5">
      <c r="A253" s="888"/>
      <c r="B253" s="888"/>
      <c r="C253" s="889"/>
      <c r="D253" s="256" t="s">
        <v>593</v>
      </c>
      <c r="E253" s="257"/>
    </row>
    <row r="254" spans="1:5" ht="16.5">
      <c r="A254" s="293" t="s">
        <v>594</v>
      </c>
      <c r="B254" s="247" t="s">
        <v>595</v>
      </c>
      <c r="C254" s="247" t="s">
        <v>596</v>
      </c>
      <c r="D254" s="248" t="s">
        <v>597</v>
      </c>
      <c r="E254" s="249" t="s">
        <v>598</v>
      </c>
    </row>
    <row r="255" spans="1:5" ht="16.5">
      <c r="A255" s="284" t="s">
        <v>658</v>
      </c>
      <c r="B255" s="250" t="str">
        <f>+VLOOKUP(A255,MATERIALES!$A$2:$I$245,2,0)</f>
        <v xml:space="preserve"> Un</v>
      </c>
      <c r="C255" s="297">
        <v>1</v>
      </c>
      <c r="D255" s="252">
        <f>+VLOOKUP(A255,MATERIALES!$A$2:$I$245,9,0)</f>
        <v>1190000</v>
      </c>
      <c r="E255" s="251">
        <f>+C255*D255</f>
        <v>1190000</v>
      </c>
    </row>
    <row r="256" spans="1:5" ht="16.5">
      <c r="A256" s="278"/>
      <c r="B256" s="250"/>
      <c r="C256" s="258"/>
      <c r="D256" s="252"/>
      <c r="E256" s="251"/>
    </row>
    <row r="257" spans="1:6" ht="16.5">
      <c r="A257" s="292"/>
      <c r="B257" s="250"/>
      <c r="C257" s="258"/>
      <c r="D257" s="252"/>
      <c r="E257" s="251"/>
    </row>
    <row r="258" spans="1:6" ht="16.5">
      <c r="A258" s="264"/>
      <c r="B258" s="265"/>
      <c r="C258" s="266"/>
      <c r="D258" s="267"/>
      <c r="E258" s="268"/>
    </row>
    <row r="259" spans="1:6" ht="16.5">
      <c r="A259" s="883"/>
      <c r="B259" s="884"/>
      <c r="C259" s="884"/>
      <c r="D259" s="884"/>
      <c r="E259" s="885"/>
    </row>
    <row r="260" spans="1:6" ht="16.5">
      <c r="A260" s="880" t="s">
        <v>599</v>
      </c>
      <c r="B260" s="881"/>
      <c r="C260" s="881"/>
      <c r="D260" s="881"/>
      <c r="E260" s="251">
        <f>SUM(E255:E257)</f>
        <v>1190000</v>
      </c>
    </row>
    <row r="261" spans="1:6" ht="16.5">
      <c r="A261" s="271" t="s">
        <v>600</v>
      </c>
      <c r="B261" s="271"/>
      <c r="C261" s="423">
        <v>0</v>
      </c>
      <c r="D261" s="271"/>
      <c r="E261" s="268">
        <f>+C261*E260*$K$3</f>
        <v>0</v>
      </c>
    </row>
    <row r="262" spans="1:6" ht="16.5">
      <c r="A262" s="289" t="s">
        <v>601</v>
      </c>
      <c r="B262" s="269" t="str">
        <f>+VLOOKUP(A262,MATERIALES!$A$2:$I$245,2,0)</f>
        <v>DIA</v>
      </c>
      <c r="C262" s="426">
        <v>0</v>
      </c>
      <c r="D262" s="270">
        <f>+VLOOKUP(A262,MATERIALES!$A$2:$I$245,9,0)</f>
        <v>126080</v>
      </c>
      <c r="E262" s="424">
        <f>+ROUND(C262*D262,0)</f>
        <v>0</v>
      </c>
    </row>
    <row r="263" spans="1:6" ht="16.5">
      <c r="A263" s="882" t="s">
        <v>602</v>
      </c>
      <c r="B263" s="882"/>
      <c r="C263" s="882"/>
      <c r="D263" s="882"/>
      <c r="E263" s="263">
        <f>+ROUND(SUM(E260:E262),0)</f>
        <v>1190000</v>
      </c>
    </row>
    <row r="265" spans="1:6" ht="15" thickBot="1"/>
    <row r="266" spans="1:6" ht="16.5">
      <c r="A266" s="886" t="s">
        <v>661</v>
      </c>
      <c r="B266" s="886"/>
      <c r="C266" s="887"/>
      <c r="D266" s="254" t="s">
        <v>592</v>
      </c>
      <c r="E266" s="255" t="s">
        <v>8</v>
      </c>
    </row>
    <row r="267" spans="1:6" ht="16.5">
      <c r="A267" s="888"/>
      <c r="B267" s="888"/>
      <c r="C267" s="889"/>
      <c r="D267" s="256" t="s">
        <v>593</v>
      </c>
      <c r="E267" s="257"/>
    </row>
    <row r="268" spans="1:6" ht="16.5">
      <c r="A268" s="293" t="s">
        <v>594</v>
      </c>
      <c r="B268" s="247" t="s">
        <v>595</v>
      </c>
      <c r="C268" s="247" t="s">
        <v>596</v>
      </c>
      <c r="D268" s="248" t="s">
        <v>597</v>
      </c>
      <c r="E268" s="249" t="s">
        <v>598</v>
      </c>
    </row>
    <row r="269" spans="1:6" ht="16.5">
      <c r="A269" s="284" t="s">
        <v>658</v>
      </c>
      <c r="B269" s="250" t="str">
        <f>+VLOOKUP(A269,MATERIALES!$A$2:$I$245,2,0)</f>
        <v xml:space="preserve"> Un</v>
      </c>
      <c r="C269" s="297">
        <v>1</v>
      </c>
      <c r="D269" s="252">
        <f>+VLOOKUP(A269,MATERIALES!$A$2:$I$245,9,0)</f>
        <v>1190000</v>
      </c>
      <c r="E269" s="251">
        <f>+C269*D269</f>
        <v>1190000</v>
      </c>
      <c r="F269" t="s">
        <v>1094</v>
      </c>
    </row>
    <row r="270" spans="1:6" ht="16.5">
      <c r="A270" s="284" t="s">
        <v>662</v>
      </c>
      <c r="B270" s="250" t="str">
        <f>+VLOOKUP(A270,MATERIALES!$A$2:$I$245,2,0)</f>
        <v xml:space="preserve"> Un</v>
      </c>
      <c r="C270" s="297">
        <v>1</v>
      </c>
      <c r="D270" s="252">
        <f>+VLOOKUP(A270,MATERIALES!$A$2:$I$245,9,0)</f>
        <v>178500</v>
      </c>
      <c r="E270" s="251">
        <f>+C270*D270</f>
        <v>178500</v>
      </c>
    </row>
    <row r="271" spans="1:6" ht="16.5">
      <c r="A271" s="292"/>
      <c r="B271" s="250"/>
      <c r="C271" s="258"/>
      <c r="D271" s="252"/>
      <c r="E271" s="251"/>
    </row>
    <row r="272" spans="1:6" ht="16.5">
      <c r="A272" s="883"/>
      <c r="B272" s="884"/>
      <c r="C272" s="884"/>
      <c r="D272" s="884"/>
      <c r="E272" s="885"/>
    </row>
    <row r="273" spans="1:6" ht="16.5">
      <c r="A273" s="880" t="s">
        <v>599</v>
      </c>
      <c r="B273" s="881"/>
      <c r="C273" s="881"/>
      <c r="D273" s="881"/>
      <c r="E273" s="251">
        <f>SUM(E269:E271)</f>
        <v>1368500</v>
      </c>
    </row>
    <row r="274" spans="1:6" ht="16.5">
      <c r="A274" s="271" t="s">
        <v>600</v>
      </c>
      <c r="B274" s="271"/>
      <c r="C274" s="423">
        <v>0</v>
      </c>
      <c r="D274" s="271"/>
      <c r="E274" s="268">
        <f>+C274*E273*$K$3</f>
        <v>0</v>
      </c>
    </row>
    <row r="275" spans="1:6" ht="16.5">
      <c r="A275" s="289" t="s">
        <v>601</v>
      </c>
      <c r="B275" s="269" t="str">
        <f>+VLOOKUP(A275,MATERIALES!$A$2:$I$245,2,0)</f>
        <v>DIA</v>
      </c>
      <c r="C275" s="426">
        <v>0</v>
      </c>
      <c r="D275" s="270">
        <f>+VLOOKUP(A275,MATERIALES!$A$2:$I$245,9,0)</f>
        <v>126080</v>
      </c>
      <c r="E275" s="424">
        <f>+ROUND(C275*D275,0)</f>
        <v>0</v>
      </c>
    </row>
    <row r="276" spans="1:6" ht="16.5">
      <c r="A276" s="882" t="s">
        <v>602</v>
      </c>
      <c r="B276" s="882"/>
      <c r="C276" s="882"/>
      <c r="D276" s="882"/>
      <c r="E276" s="263">
        <f>+ROUND(SUM(E273:E275),0)</f>
        <v>1368500</v>
      </c>
    </row>
    <row r="278" spans="1:6" ht="15" thickBot="1"/>
    <row r="279" spans="1:6" ht="16.5">
      <c r="A279" s="886" t="s">
        <v>665</v>
      </c>
      <c r="B279" s="886"/>
      <c r="C279" s="887"/>
      <c r="D279" s="254" t="s">
        <v>592</v>
      </c>
      <c r="E279" s="255" t="s">
        <v>8</v>
      </c>
    </row>
    <row r="280" spans="1:6" ht="16.5">
      <c r="A280" s="888"/>
      <c r="B280" s="888"/>
      <c r="C280" s="889"/>
      <c r="D280" s="256" t="s">
        <v>593</v>
      </c>
      <c r="E280" s="257"/>
    </row>
    <row r="281" spans="1:6" ht="16.5">
      <c r="A281" s="293" t="s">
        <v>594</v>
      </c>
      <c r="B281" s="247" t="s">
        <v>595</v>
      </c>
      <c r="C281" s="247" t="s">
        <v>596</v>
      </c>
      <c r="D281" s="248" t="s">
        <v>597</v>
      </c>
      <c r="E281" s="249" t="s">
        <v>598</v>
      </c>
    </row>
    <row r="282" spans="1:6" ht="16.5">
      <c r="A282" s="299" t="s">
        <v>665</v>
      </c>
      <c r="B282" s="250" t="str">
        <f>+VLOOKUP(A282,MATERIALES!$A$2:$I$245,2,0)</f>
        <v xml:space="preserve"> Un</v>
      </c>
      <c r="C282" s="296">
        <v>1</v>
      </c>
      <c r="D282" s="252">
        <f>+VLOOKUP(A282,MATERIALES!$A$2:$I$245,9,0)</f>
        <v>735124</v>
      </c>
      <c r="E282" s="251">
        <f>+C282*D282</f>
        <v>735124</v>
      </c>
    </row>
    <row r="283" spans="1:6" ht="16.5">
      <c r="A283" s="299" t="s">
        <v>647</v>
      </c>
      <c r="B283" s="250" t="str">
        <f>+VLOOKUP(A283,MATERIALES!$A$2:$I$245,2,0)</f>
        <v>Hr</v>
      </c>
      <c r="C283" s="296">
        <v>2</v>
      </c>
      <c r="D283" s="252">
        <f>+VLOOKUP(A283,MATERIALES!$A$2:$I$245,9,0)</f>
        <v>101389</v>
      </c>
      <c r="E283" s="251">
        <f>+C283*D283</f>
        <v>202778</v>
      </c>
      <c r="F283" t="s">
        <v>1097</v>
      </c>
    </row>
    <row r="284" spans="1:6" ht="16.5">
      <c r="A284" s="292"/>
      <c r="B284" s="250"/>
      <c r="C284" s="258"/>
      <c r="D284" s="252"/>
      <c r="E284" s="251"/>
    </row>
    <row r="285" spans="1:6" ht="16.5">
      <c r="A285" s="264"/>
      <c r="B285" s="265"/>
      <c r="C285" s="266"/>
      <c r="D285" s="267"/>
      <c r="E285" s="268"/>
    </row>
    <row r="286" spans="1:6" ht="16.5">
      <c r="A286" s="883"/>
      <c r="B286" s="884"/>
      <c r="C286" s="884"/>
      <c r="D286" s="884"/>
      <c r="E286" s="885"/>
    </row>
    <row r="287" spans="1:6" ht="16.5">
      <c r="A287" s="880" t="s">
        <v>599</v>
      </c>
      <c r="B287" s="881"/>
      <c r="C287" s="881"/>
      <c r="D287" s="881"/>
      <c r="E287" s="251">
        <f>SUM(E282:E284)</f>
        <v>937902</v>
      </c>
    </row>
    <row r="288" spans="1:6" ht="16.5">
      <c r="A288" s="271" t="s">
        <v>600</v>
      </c>
      <c r="B288" s="271"/>
      <c r="C288" s="423">
        <v>1</v>
      </c>
      <c r="D288" s="271"/>
      <c r="E288" s="268">
        <f>+C288*E287*$K$3</f>
        <v>93790.200000000012</v>
      </c>
      <c r="F288" t="s">
        <v>1095</v>
      </c>
    </row>
    <row r="289" spans="1:6" ht="16.5">
      <c r="A289" s="289" t="s">
        <v>601</v>
      </c>
      <c r="B289" s="269" t="str">
        <f>+VLOOKUP(A289,MATERIALES!$A$2:$I$245,2,0)</f>
        <v>DIA</v>
      </c>
      <c r="C289" s="426">
        <v>1</v>
      </c>
      <c r="D289" s="270">
        <f>+VLOOKUP(A289,MATERIALES!$A$2:$I$245,9,0)</f>
        <v>126080</v>
      </c>
      <c r="E289" s="424">
        <f>+ROUND(C289*D289,0)</f>
        <v>126080</v>
      </c>
      <c r="F289" t="s">
        <v>1096</v>
      </c>
    </row>
    <row r="290" spans="1:6" ht="16.5">
      <c r="A290" s="882" t="s">
        <v>602</v>
      </c>
      <c r="B290" s="882"/>
      <c r="C290" s="882"/>
      <c r="D290" s="882"/>
      <c r="E290" s="263">
        <f>+ROUND(SUM(E287:E289),0)</f>
        <v>1157772</v>
      </c>
    </row>
    <row r="291" spans="1:6" ht="16.5">
      <c r="A291" s="279"/>
      <c r="B291" s="279"/>
      <c r="C291" s="279"/>
      <c r="D291" s="279"/>
      <c r="E291" s="280"/>
    </row>
    <row r="292" spans="1:6" ht="15" thickBot="1"/>
    <row r="293" spans="1:6" ht="16.5">
      <c r="A293" s="886" t="s">
        <v>664</v>
      </c>
      <c r="B293" s="886"/>
      <c r="C293" s="887"/>
      <c r="D293" s="254" t="s">
        <v>592</v>
      </c>
      <c r="E293" s="255" t="s">
        <v>8</v>
      </c>
    </row>
    <row r="294" spans="1:6" ht="16.5">
      <c r="A294" s="888"/>
      <c r="B294" s="888"/>
      <c r="C294" s="889"/>
      <c r="D294" s="256" t="s">
        <v>593</v>
      </c>
      <c r="E294" s="257"/>
    </row>
    <row r="295" spans="1:6" ht="16.5">
      <c r="A295" s="293" t="s">
        <v>594</v>
      </c>
      <c r="B295" s="247" t="s">
        <v>595</v>
      </c>
      <c r="C295" s="247" t="s">
        <v>596</v>
      </c>
      <c r="D295" s="248" t="s">
        <v>597</v>
      </c>
      <c r="E295" s="249" t="s">
        <v>598</v>
      </c>
    </row>
    <row r="296" spans="1:6" ht="16.5">
      <c r="A296" s="299" t="s">
        <v>664</v>
      </c>
      <c r="B296" s="250" t="str">
        <f>+VLOOKUP(A296,MATERIALES!$A$2:$I$245,2,0)</f>
        <v xml:space="preserve"> Un</v>
      </c>
      <c r="C296" s="297">
        <v>1</v>
      </c>
      <c r="D296" s="252">
        <f>+VLOOKUP(A296,MATERIALES!$A$2:$I$245,9,0)</f>
        <v>616671</v>
      </c>
      <c r="E296" s="251">
        <f>+C296*D296</f>
        <v>616671</v>
      </c>
    </row>
    <row r="297" spans="1:6" ht="16.5">
      <c r="A297" s="299" t="s">
        <v>647</v>
      </c>
      <c r="B297" s="250" t="str">
        <f>+VLOOKUP(A297,MATERIALES!$A$2:$I$245,2,0)</f>
        <v>Hr</v>
      </c>
      <c r="C297" s="297">
        <v>2</v>
      </c>
      <c r="D297" s="252">
        <f>+VLOOKUP(A297,MATERIALES!$A$2:$I$245,9,0)</f>
        <v>101389</v>
      </c>
      <c r="E297" s="251">
        <f>+C297*D297</f>
        <v>202778</v>
      </c>
      <c r="F297" t="s">
        <v>1097</v>
      </c>
    </row>
    <row r="298" spans="1:6" ht="16.5">
      <c r="A298" s="292"/>
      <c r="B298" s="250"/>
      <c r="C298" s="258"/>
      <c r="D298" s="252"/>
      <c r="E298" s="251"/>
    </row>
    <row r="299" spans="1:6" ht="16.5">
      <c r="A299" s="264"/>
      <c r="B299" s="265"/>
      <c r="C299" s="266"/>
      <c r="D299" s="267"/>
      <c r="E299" s="268"/>
    </row>
    <row r="300" spans="1:6" ht="16.5">
      <c r="A300" s="883"/>
      <c r="B300" s="884"/>
      <c r="C300" s="884"/>
      <c r="D300" s="884"/>
      <c r="E300" s="885"/>
    </row>
    <row r="301" spans="1:6" ht="16.5">
      <c r="A301" s="880" t="s">
        <v>599</v>
      </c>
      <c r="B301" s="881"/>
      <c r="C301" s="881"/>
      <c r="D301" s="881"/>
      <c r="E301" s="251">
        <f>SUM(E296:E298)</f>
        <v>819449</v>
      </c>
    </row>
    <row r="302" spans="1:6" ht="16.5">
      <c r="A302" s="271" t="s">
        <v>600</v>
      </c>
      <c r="B302" s="271"/>
      <c r="C302" s="423">
        <v>1</v>
      </c>
      <c r="D302" s="271"/>
      <c r="E302" s="268">
        <f>+C302*E301*$K$3</f>
        <v>81944.900000000009</v>
      </c>
      <c r="F302" t="s">
        <v>1095</v>
      </c>
    </row>
    <row r="303" spans="1:6" ht="16.5">
      <c r="A303" s="289" t="s">
        <v>601</v>
      </c>
      <c r="B303" s="269" t="str">
        <f>+VLOOKUP(A303,MATERIALES!$A$2:$I$245,2,0)</f>
        <v>DIA</v>
      </c>
      <c r="C303" s="426">
        <v>1</v>
      </c>
      <c r="D303" s="270">
        <f>+VLOOKUP(A303,MATERIALES!$A$2:$I$245,9,0)</f>
        <v>126080</v>
      </c>
      <c r="E303" s="424">
        <f>+ROUND(C303*D303,0)</f>
        <v>126080</v>
      </c>
      <c r="F303" t="s">
        <v>1096</v>
      </c>
    </row>
    <row r="304" spans="1:6" ht="16.5">
      <c r="A304" s="882" t="s">
        <v>602</v>
      </c>
      <c r="B304" s="882"/>
      <c r="C304" s="882"/>
      <c r="D304" s="882"/>
      <c r="E304" s="263">
        <f>+ROUND(SUM(E301:E303),0)</f>
        <v>1027474</v>
      </c>
    </row>
    <row r="306" spans="1:6" ht="15" thickBot="1"/>
    <row r="307" spans="1:6" ht="16.5">
      <c r="A307" s="886" t="s">
        <v>697</v>
      </c>
      <c r="B307" s="886"/>
      <c r="C307" s="887"/>
      <c r="D307" s="254" t="s">
        <v>592</v>
      </c>
      <c r="E307" s="255" t="s">
        <v>8</v>
      </c>
    </row>
    <row r="308" spans="1:6" ht="16.5">
      <c r="A308" s="888"/>
      <c r="B308" s="888"/>
      <c r="C308" s="889"/>
      <c r="D308" s="256" t="s">
        <v>593</v>
      </c>
      <c r="E308" s="257"/>
    </row>
    <row r="309" spans="1:6" ht="16.5">
      <c r="A309" s="293" t="s">
        <v>594</v>
      </c>
      <c r="B309" s="247" t="s">
        <v>595</v>
      </c>
      <c r="C309" s="339" t="s">
        <v>596</v>
      </c>
      <c r="D309" s="248" t="s">
        <v>597</v>
      </c>
      <c r="E309" s="249" t="s">
        <v>598</v>
      </c>
    </row>
    <row r="310" spans="1:6" ht="16.5">
      <c r="A310" s="338" t="s">
        <v>702</v>
      </c>
      <c r="B310" s="250" t="str">
        <f>+VLOOKUP(A310,MATERIALES!$A$2:$I$245,2,0)</f>
        <v>Un</v>
      </c>
      <c r="C310" s="328">
        <v>3</v>
      </c>
      <c r="D310" s="252">
        <f>+VLOOKUP(A310,MATERIALES!$A$2:$I$245,9,0)</f>
        <v>35450</v>
      </c>
      <c r="E310" s="251">
        <f>+C310*D310</f>
        <v>106350</v>
      </c>
    </row>
    <row r="311" spans="1:6" ht="16.5">
      <c r="A311" s="340" t="s">
        <v>690</v>
      </c>
      <c r="B311" s="250" t="str">
        <f>+VLOOKUP(A311,MATERIALES!$A$2:$I$245,2,0)</f>
        <v>Un</v>
      </c>
      <c r="C311" s="328">
        <v>2</v>
      </c>
      <c r="D311" s="252">
        <f>+VLOOKUP(A311,MATERIALES!$A$2:$I$245,9,0)</f>
        <v>116501</v>
      </c>
      <c r="E311" s="251">
        <f>+C311*D311</f>
        <v>233002</v>
      </c>
    </row>
    <row r="312" spans="1:6" ht="16.5">
      <c r="A312" s="340" t="s">
        <v>691</v>
      </c>
      <c r="B312" s="250" t="str">
        <f>+VLOOKUP(A312,MATERIALES!$A$2:$I$245,2,0)</f>
        <v>un</v>
      </c>
      <c r="C312" s="328">
        <v>2</v>
      </c>
      <c r="D312" s="252">
        <f>+VLOOKUP(A312,MATERIALES!$A$2:$I$245,9,0)</f>
        <v>37006</v>
      </c>
      <c r="E312" s="251">
        <f t="shared" ref="E312:E321" si="7">+C312*D312</f>
        <v>74012</v>
      </c>
    </row>
    <row r="313" spans="1:6" ht="16.5">
      <c r="A313" s="340" t="s">
        <v>692</v>
      </c>
      <c r="B313" s="250" t="str">
        <f>+VLOOKUP(A313,MATERIALES!$A$2:$I$245,2,0)</f>
        <v>Un</v>
      </c>
      <c r="C313" s="328">
        <v>3</v>
      </c>
      <c r="D313" s="252">
        <f>+VLOOKUP(A313,MATERIALES!$A$2:$I$245,9,0)</f>
        <v>38052</v>
      </c>
      <c r="E313" s="251">
        <f t="shared" si="7"/>
        <v>114156</v>
      </c>
    </row>
    <row r="314" spans="1:6" ht="16.5">
      <c r="A314" s="340" t="s">
        <v>693</v>
      </c>
      <c r="B314" s="250" t="str">
        <f>+VLOOKUP(A314,MATERIALES!$A$2:$I$245,2,0)</f>
        <v>Un</v>
      </c>
      <c r="C314" s="328">
        <v>0</v>
      </c>
      <c r="D314" s="252">
        <f>+VLOOKUP(A314,MATERIALES!$A$2:$I$245,9,0)</f>
        <v>0</v>
      </c>
      <c r="E314" s="251">
        <f t="shared" si="7"/>
        <v>0</v>
      </c>
      <c r="F314" t="s">
        <v>1087</v>
      </c>
    </row>
    <row r="315" spans="1:6" ht="16.5">
      <c r="A315" s="340" t="s">
        <v>694</v>
      </c>
      <c r="B315" s="250" t="str">
        <f>+VLOOKUP(A315,MATERIALES!$A$2:$I$245,2,0)</f>
        <v>Un</v>
      </c>
      <c r="C315" s="328">
        <v>2</v>
      </c>
      <c r="D315" s="252">
        <f>+VLOOKUP(A315,MATERIALES!$A$2:$I$245,9,0)</f>
        <v>9500</v>
      </c>
      <c r="E315" s="251">
        <f t="shared" si="7"/>
        <v>19000</v>
      </c>
    </row>
    <row r="316" spans="1:6" ht="16.5">
      <c r="A316" s="340" t="s">
        <v>695</v>
      </c>
      <c r="B316" s="250" t="str">
        <f>+VLOOKUP(A316,MATERIALES!$A$2:$I$245,2,0)</f>
        <v>Un</v>
      </c>
      <c r="C316" s="328">
        <v>3</v>
      </c>
      <c r="D316" s="252">
        <f>+VLOOKUP(A316,MATERIALES!$A$2:$I$245,9,0)</f>
        <v>5355</v>
      </c>
      <c r="E316" s="251">
        <f t="shared" si="7"/>
        <v>16065</v>
      </c>
    </row>
    <row r="317" spans="1:6" ht="16.5">
      <c r="A317" s="340" t="s">
        <v>696</v>
      </c>
      <c r="B317" s="250" t="str">
        <f>+VLOOKUP(A317,MATERIALES!$A$2:$I$245,2,0)</f>
        <v>Un</v>
      </c>
      <c r="C317" s="328">
        <v>0</v>
      </c>
      <c r="D317" s="252">
        <f>+VLOOKUP(A317,MATERIALES!$A$2:$I$245,9,0)</f>
        <v>942333</v>
      </c>
      <c r="E317" s="251">
        <f t="shared" si="7"/>
        <v>0</v>
      </c>
      <c r="F317" t="s">
        <v>1122</v>
      </c>
    </row>
    <row r="318" spans="1:6" ht="16.5">
      <c r="A318" s="340" t="s">
        <v>698</v>
      </c>
      <c r="B318" s="250" t="str">
        <f>+VLOOKUP(A318,MATERIALES!$A$2:$I$245,2,0)</f>
        <v>Un</v>
      </c>
      <c r="C318" s="328">
        <v>2</v>
      </c>
      <c r="D318" s="252">
        <f>+VLOOKUP(A318,MATERIALES!$A$2:$I$245,9,0)</f>
        <v>5899</v>
      </c>
      <c r="E318" s="251">
        <f t="shared" si="7"/>
        <v>11798</v>
      </c>
    </row>
    <row r="319" spans="1:6" ht="16.5">
      <c r="A319" s="340" t="s">
        <v>699</v>
      </c>
      <c r="B319" s="250" t="str">
        <f>+VLOOKUP(A319,MATERIALES!$A$2:$I$245,2,0)</f>
        <v>Un</v>
      </c>
      <c r="C319" s="328">
        <v>2</v>
      </c>
      <c r="D319" s="252">
        <f>+VLOOKUP(A319,MATERIALES!$A$2:$I$245,9,0)</f>
        <v>1600</v>
      </c>
      <c r="E319" s="251">
        <f t="shared" si="7"/>
        <v>3200</v>
      </c>
    </row>
    <row r="320" spans="1:6" ht="16.5">
      <c r="A320" s="340" t="s">
        <v>700</v>
      </c>
      <c r="B320" s="250" t="str">
        <f>+VLOOKUP(A320,MATERIALES!$A$2:$I$245,2,0)</f>
        <v>Un</v>
      </c>
      <c r="C320" s="328">
        <v>2</v>
      </c>
      <c r="D320" s="252">
        <f>+VLOOKUP(A320,MATERIALES!$A$2:$I$245,9,0)</f>
        <v>1700</v>
      </c>
      <c r="E320" s="251">
        <f t="shared" si="7"/>
        <v>3400</v>
      </c>
    </row>
    <row r="321" spans="1:5" ht="16.5">
      <c r="A321" s="340" t="s">
        <v>711</v>
      </c>
      <c r="B321" s="250" t="str">
        <f>+VLOOKUP(A321,MATERIALES!$A$2:$I$245,2,0)</f>
        <v>Un</v>
      </c>
      <c r="C321" s="328">
        <v>1</v>
      </c>
      <c r="D321" s="252">
        <f>+VLOOKUP(A321,MATERIALES!$A$2:$I$245,9,0)</f>
        <v>15500</v>
      </c>
      <c r="E321" s="251">
        <f t="shared" si="7"/>
        <v>15500</v>
      </c>
    </row>
    <row r="322" spans="1:5" ht="16.5">
      <c r="A322" s="299"/>
      <c r="B322" s="250"/>
      <c r="C322" s="297"/>
      <c r="D322" s="252"/>
      <c r="E322" s="251"/>
    </row>
    <row r="323" spans="1:5" ht="16.5">
      <c r="A323" s="883"/>
      <c r="B323" s="884"/>
      <c r="C323" s="884"/>
      <c r="D323" s="884"/>
      <c r="E323" s="885"/>
    </row>
    <row r="324" spans="1:5" ht="16.5">
      <c r="A324" s="880" t="s">
        <v>599</v>
      </c>
      <c r="B324" s="881"/>
      <c r="C324" s="881"/>
      <c r="D324" s="881"/>
      <c r="E324" s="251">
        <f>SUM(E310:E322)</f>
        <v>596483</v>
      </c>
    </row>
    <row r="325" spans="1:5" ht="16.5">
      <c r="A325" s="271" t="s">
        <v>600</v>
      </c>
      <c r="B325" s="271"/>
      <c r="C325" s="423">
        <v>0.5</v>
      </c>
      <c r="D325" s="271"/>
      <c r="E325" s="268">
        <f>+C325*E324*$K$3</f>
        <v>29824.15</v>
      </c>
    </row>
    <row r="326" spans="1:5" ht="16.5">
      <c r="A326" s="289" t="s">
        <v>601</v>
      </c>
      <c r="B326" s="269" t="str">
        <f>+VLOOKUP(A326,MATERIALES!$A$2:$I$245,2,0)</f>
        <v>DIA</v>
      </c>
      <c r="C326" s="426">
        <v>1</v>
      </c>
      <c r="D326" s="270">
        <f>+VLOOKUP(A326,MATERIALES!$A$2:$I$245,9,0)</f>
        <v>126080</v>
      </c>
      <c r="E326" s="424">
        <f>+ROUND(C326*D326,0)</f>
        <v>126080</v>
      </c>
    </row>
    <row r="327" spans="1:5" ht="16.5">
      <c r="A327" s="882" t="s">
        <v>602</v>
      </c>
      <c r="B327" s="882"/>
      <c r="C327" s="882"/>
      <c r="D327" s="882"/>
      <c r="E327" s="263">
        <f>+ROUND(SUM(E324:E326),0)</f>
        <v>752387</v>
      </c>
    </row>
    <row r="329" spans="1:5" ht="15" thickBot="1"/>
    <row r="330" spans="1:5" ht="16.5">
      <c r="A330" s="886" t="s">
        <v>663</v>
      </c>
      <c r="B330" s="886"/>
      <c r="C330" s="887"/>
      <c r="D330" s="254" t="s">
        <v>592</v>
      </c>
      <c r="E330" s="255" t="s">
        <v>8</v>
      </c>
    </row>
    <row r="331" spans="1:5" ht="16.5">
      <c r="A331" s="888"/>
      <c r="B331" s="888"/>
      <c r="C331" s="889"/>
      <c r="D331" s="256" t="s">
        <v>593</v>
      </c>
      <c r="E331" s="257"/>
    </row>
    <row r="332" spans="1:5" ht="16.5">
      <c r="A332" s="293" t="s">
        <v>594</v>
      </c>
      <c r="B332" s="247" t="s">
        <v>595</v>
      </c>
      <c r="C332" s="247" t="s">
        <v>596</v>
      </c>
      <c r="D332" s="248" t="s">
        <v>597</v>
      </c>
      <c r="E332" s="249" t="s">
        <v>598</v>
      </c>
    </row>
    <row r="333" spans="1:5" ht="16.5">
      <c r="A333" s="299" t="s">
        <v>663</v>
      </c>
      <c r="B333" s="250" t="str">
        <f>+VLOOKUP(A333,MATERIALES!$A$2:$I$245,2,0)</f>
        <v xml:space="preserve"> Un</v>
      </c>
      <c r="C333" s="297">
        <v>1</v>
      </c>
      <c r="D333" s="252">
        <f>+VLOOKUP(A333,MATERIALES!$A$2:$I$245,9,0)</f>
        <v>595000</v>
      </c>
      <c r="E333" s="251">
        <f>+C333*D333</f>
        <v>595000</v>
      </c>
    </row>
    <row r="334" spans="1:5" ht="16.5">
      <c r="A334" s="292"/>
      <c r="B334" s="250"/>
      <c r="C334" s="258"/>
      <c r="D334" s="252"/>
      <c r="E334" s="251"/>
    </row>
    <row r="335" spans="1:5" ht="16.5">
      <c r="A335" s="264"/>
      <c r="B335" s="265"/>
      <c r="C335" s="266"/>
      <c r="D335" s="267"/>
      <c r="E335" s="268"/>
    </row>
    <row r="336" spans="1:5" ht="16.5">
      <c r="A336" s="883"/>
      <c r="B336" s="884"/>
      <c r="C336" s="884"/>
      <c r="D336" s="884"/>
      <c r="E336" s="885"/>
    </row>
    <row r="337" spans="1:6" ht="16.5">
      <c r="A337" s="880" t="s">
        <v>599</v>
      </c>
      <c r="B337" s="881"/>
      <c r="C337" s="881"/>
      <c r="D337" s="881"/>
      <c r="E337" s="251">
        <f>SUM(E333:E334)</f>
        <v>595000</v>
      </c>
    </row>
    <row r="338" spans="1:6" ht="16.5">
      <c r="A338" s="271" t="s">
        <v>600</v>
      </c>
      <c r="B338" s="271"/>
      <c r="C338" s="423">
        <v>0</v>
      </c>
      <c r="D338" s="271"/>
      <c r="E338" s="268">
        <f>+C338*E337*$K$3</f>
        <v>0</v>
      </c>
    </row>
    <row r="339" spans="1:6" ht="16.5">
      <c r="A339" s="289" t="s">
        <v>601</v>
      </c>
      <c r="B339" s="269" t="str">
        <f>+VLOOKUP(A339,MATERIALES!$A$2:$I$245,2,0)</f>
        <v>DIA</v>
      </c>
      <c r="C339" s="426">
        <v>1</v>
      </c>
      <c r="D339" s="270">
        <f>+VLOOKUP(A339,MATERIALES!$A$2:$I$245,9,0)</f>
        <v>126080</v>
      </c>
      <c r="E339" s="424">
        <f>+ROUND(C339*D339,0)</f>
        <v>126080</v>
      </c>
      <c r="F339" t="s">
        <v>898</v>
      </c>
    </row>
    <row r="340" spans="1:6" ht="16.5">
      <c r="A340" s="882" t="s">
        <v>602</v>
      </c>
      <c r="B340" s="882"/>
      <c r="C340" s="882"/>
      <c r="D340" s="882"/>
      <c r="E340" s="263">
        <f>+ROUND(SUM(E337:E339),0)</f>
        <v>721080</v>
      </c>
    </row>
    <row r="342" spans="1:6" ht="15" thickBot="1"/>
    <row r="343" spans="1:6" ht="16.5">
      <c r="A343" s="886" t="s">
        <v>668</v>
      </c>
      <c r="B343" s="886"/>
      <c r="C343" s="887"/>
      <c r="D343" s="254" t="s">
        <v>592</v>
      </c>
      <c r="E343" s="255" t="s">
        <v>8</v>
      </c>
    </row>
    <row r="344" spans="1:6" ht="16.5">
      <c r="A344" s="888"/>
      <c r="B344" s="888"/>
      <c r="C344" s="889"/>
      <c r="D344" s="256" t="s">
        <v>593</v>
      </c>
      <c r="E344" s="257"/>
    </row>
    <row r="345" spans="1:6" ht="16.5">
      <c r="A345" s="293" t="s">
        <v>594</v>
      </c>
      <c r="B345" s="247" t="s">
        <v>595</v>
      </c>
      <c r="C345" s="247" t="s">
        <v>596</v>
      </c>
      <c r="D345" s="248" t="s">
        <v>597</v>
      </c>
      <c r="E345" s="249" t="s">
        <v>598</v>
      </c>
    </row>
    <row r="346" spans="1:6" ht="37.5">
      <c r="A346" s="450" t="s">
        <v>967</v>
      </c>
      <c r="B346" s="250" t="str">
        <f>+VLOOKUP(A346,MATERIALES!$A$2:$I$245,2,0)</f>
        <v>Un</v>
      </c>
      <c r="C346" s="296">
        <v>1</v>
      </c>
      <c r="D346" s="252">
        <f>+VLOOKUP(A346,MATERIALES!$A$2:$I$245,9,0)</f>
        <v>284256</v>
      </c>
      <c r="E346" s="251">
        <f>+C346*D346</f>
        <v>284256</v>
      </c>
      <c r="F346" t="s">
        <v>1098</v>
      </c>
    </row>
    <row r="347" spans="1:6" ht="16.5">
      <c r="A347" s="292"/>
      <c r="B347" s="250"/>
      <c r="C347" s="258"/>
      <c r="D347" s="252"/>
      <c r="E347" s="251"/>
    </row>
    <row r="348" spans="1:6" ht="16.5">
      <c r="A348" s="264"/>
      <c r="B348" s="265"/>
      <c r="C348" s="266"/>
      <c r="D348" s="267"/>
      <c r="E348" s="268"/>
    </row>
    <row r="349" spans="1:6" ht="16.5">
      <c r="A349" s="883"/>
      <c r="B349" s="884"/>
      <c r="C349" s="884"/>
      <c r="D349" s="884"/>
      <c r="E349" s="885"/>
    </row>
    <row r="350" spans="1:6" ht="16.5">
      <c r="A350" s="880" t="s">
        <v>599</v>
      </c>
      <c r="B350" s="881"/>
      <c r="C350" s="881"/>
      <c r="D350" s="881"/>
      <c r="E350" s="251">
        <f>SUM(E346:E347)</f>
        <v>284256</v>
      </c>
    </row>
    <row r="351" spans="1:6" ht="16.5">
      <c r="A351" s="271" t="s">
        <v>600</v>
      </c>
      <c r="B351" s="271"/>
      <c r="C351" s="423">
        <v>0</v>
      </c>
      <c r="D351" s="271"/>
      <c r="E351" s="268">
        <f>+C351*E350*$K$3</f>
        <v>0</v>
      </c>
    </row>
    <row r="352" spans="1:6" ht="16.5">
      <c r="A352" s="289" t="s">
        <v>601</v>
      </c>
      <c r="B352" s="269" t="str">
        <f>+VLOOKUP(A352,MATERIALES!$A$2:$I$245,2,0)</f>
        <v>DIA</v>
      </c>
      <c r="C352" s="426">
        <v>0</v>
      </c>
      <c r="D352" s="270">
        <f>+VLOOKUP(A352,MATERIALES!$A$2:$I$245,9,0)</f>
        <v>126080</v>
      </c>
      <c r="E352" s="424">
        <f>+ROUND(C352*D352,0)</f>
        <v>0</v>
      </c>
    </row>
    <row r="353" spans="1:5" ht="16.5">
      <c r="A353" s="882" t="s">
        <v>602</v>
      </c>
      <c r="B353" s="882"/>
      <c r="C353" s="882"/>
      <c r="D353" s="882"/>
      <c r="E353" s="263">
        <f>+ROUND(SUM(E350:E352),0)</f>
        <v>284256</v>
      </c>
    </row>
    <row r="354" spans="1:5" ht="16.5">
      <c r="A354" s="279"/>
      <c r="B354" s="279"/>
      <c r="C354" s="279"/>
      <c r="D354" s="279"/>
      <c r="E354" s="280"/>
    </row>
    <row r="355" spans="1:5" ht="15" thickBot="1"/>
    <row r="356" spans="1:5" ht="16.5">
      <c r="A356" s="886" t="s">
        <v>942</v>
      </c>
      <c r="B356" s="886"/>
      <c r="C356" s="887"/>
      <c r="D356" s="254" t="s">
        <v>592</v>
      </c>
      <c r="E356" s="255" t="s">
        <v>8</v>
      </c>
    </row>
    <row r="357" spans="1:5" ht="16.5">
      <c r="A357" s="888"/>
      <c r="B357" s="888"/>
      <c r="C357" s="889"/>
      <c r="D357" s="256" t="s">
        <v>593</v>
      </c>
      <c r="E357" s="257"/>
    </row>
    <row r="358" spans="1:5" ht="16.5">
      <c r="A358" s="435"/>
      <c r="B358" s="435"/>
      <c r="C358" s="435"/>
      <c r="D358" s="341"/>
      <c r="E358" s="342"/>
    </row>
    <row r="359" spans="1:5" ht="16.5">
      <c r="A359" s="293" t="s">
        <v>594</v>
      </c>
      <c r="B359" s="247" t="s">
        <v>595</v>
      </c>
      <c r="C359" s="247" t="s">
        <v>596</v>
      </c>
      <c r="D359" s="248" t="s">
        <v>597</v>
      </c>
      <c r="E359" s="249" t="s">
        <v>598</v>
      </c>
    </row>
    <row r="360" spans="1:5" ht="16.5">
      <c r="A360" s="343" t="s">
        <v>704</v>
      </c>
      <c r="B360" s="250" t="str">
        <f>+VLOOKUP(A360,MATERIALES!$A$2:$I$245,2,0)</f>
        <v>Un</v>
      </c>
      <c r="C360" s="328">
        <v>1</v>
      </c>
      <c r="D360" s="252">
        <f>+VLOOKUP(A360,MATERIALES!$A$2:$I$245,9,0)</f>
        <v>6900</v>
      </c>
      <c r="E360" s="251">
        <f t="shared" ref="E360:E366" si="8">+C360*D360</f>
        <v>6900</v>
      </c>
    </row>
    <row r="361" spans="1:5" ht="16.5">
      <c r="A361" s="343" t="s">
        <v>705</v>
      </c>
      <c r="B361" s="250" t="str">
        <f>+VLOOKUP(A361,MATERIALES!$A$2:$I$245,2,0)</f>
        <v>Un</v>
      </c>
      <c r="C361" s="328">
        <v>1</v>
      </c>
      <c r="D361" s="252">
        <f>+VLOOKUP(A361,MATERIALES!$A$2:$I$245,9,0)</f>
        <v>27900</v>
      </c>
      <c r="E361" s="251">
        <f t="shared" si="8"/>
        <v>27900</v>
      </c>
    </row>
    <row r="362" spans="1:5" ht="16.5">
      <c r="A362" s="343" t="s">
        <v>706</v>
      </c>
      <c r="B362" s="250" t="str">
        <f>+VLOOKUP(A362,MATERIALES!$A$2:$I$245,2,0)</f>
        <v>Un</v>
      </c>
      <c r="C362" s="328">
        <v>1</v>
      </c>
      <c r="D362" s="252">
        <f>+VLOOKUP(A362,MATERIALES!$A$2:$I$245,9,0)</f>
        <v>2074</v>
      </c>
      <c r="E362" s="251">
        <f t="shared" si="8"/>
        <v>2074</v>
      </c>
    </row>
    <row r="363" spans="1:5" ht="16.5">
      <c r="A363" s="343" t="s">
        <v>707</v>
      </c>
      <c r="B363" s="250" t="str">
        <f>+VLOOKUP(A363,MATERIALES!$A$2:$I$245,2,0)</f>
        <v>Un</v>
      </c>
      <c r="C363" s="328">
        <v>4</v>
      </c>
      <c r="D363" s="252">
        <f>+VLOOKUP(A363,MATERIALES!$A$2:$I$245,9,0)</f>
        <v>6927</v>
      </c>
      <c r="E363" s="251">
        <f t="shared" si="8"/>
        <v>27708</v>
      </c>
    </row>
    <row r="364" spans="1:5" ht="16.5">
      <c r="A364" s="343" t="s">
        <v>708</v>
      </c>
      <c r="B364" s="250" t="str">
        <f>+VLOOKUP(A364,MATERIALES!$A$2:$I$245,2,0)</f>
        <v>Un</v>
      </c>
      <c r="C364" s="328">
        <v>20</v>
      </c>
      <c r="D364" s="252">
        <f>+VLOOKUP(A364,MATERIALES!$A$2:$I$245,9,0)</f>
        <v>3600</v>
      </c>
      <c r="E364" s="251">
        <f t="shared" si="8"/>
        <v>72000</v>
      </c>
    </row>
    <row r="365" spans="1:5" ht="16.5">
      <c r="A365" s="343" t="s">
        <v>710</v>
      </c>
      <c r="B365" s="250" t="str">
        <f>+VLOOKUP(A365,MATERIALES!$A$2:$I$245,2,0)</f>
        <v>Un</v>
      </c>
      <c r="C365" s="328">
        <v>1</v>
      </c>
      <c r="D365" s="252">
        <f>+VLOOKUP(A365,MATERIALES!$A$2:$I$245,9,0)</f>
        <v>14087</v>
      </c>
      <c r="E365" s="251">
        <f t="shared" si="8"/>
        <v>14087</v>
      </c>
    </row>
    <row r="366" spans="1:5" ht="16.5">
      <c r="A366" s="340" t="s">
        <v>712</v>
      </c>
      <c r="B366" s="250" t="str">
        <f>+VLOOKUP(A366,MATERIALES!$A$2:$I$245,2,0)</f>
        <v>Un</v>
      </c>
      <c r="C366" s="328">
        <v>1</v>
      </c>
      <c r="D366" s="252">
        <f>+VLOOKUP(A366,MATERIALES!$A$2:$I$245,9,0)</f>
        <v>13800</v>
      </c>
      <c r="E366" s="251">
        <f t="shared" si="8"/>
        <v>13800</v>
      </c>
    </row>
    <row r="367" spans="1:5" ht="16.5">
      <c r="A367" s="264"/>
      <c r="B367" s="265"/>
      <c r="C367" s="266"/>
      <c r="D367" s="267"/>
      <c r="E367" s="268"/>
    </row>
    <row r="368" spans="1:5" ht="16.5">
      <c r="A368" s="883"/>
      <c r="B368" s="884"/>
      <c r="C368" s="884"/>
      <c r="D368" s="884"/>
      <c r="E368" s="885"/>
    </row>
    <row r="369" spans="1:5" ht="16.5">
      <c r="A369" s="880" t="s">
        <v>599</v>
      </c>
      <c r="B369" s="881"/>
      <c r="C369" s="881"/>
      <c r="D369" s="881"/>
      <c r="E369" s="251">
        <f>SUM(E360:E366)</f>
        <v>164469</v>
      </c>
    </row>
    <row r="370" spans="1:5" ht="16.5">
      <c r="A370" s="271" t="s">
        <v>600</v>
      </c>
      <c r="B370" s="271"/>
      <c r="C370" s="423">
        <v>1</v>
      </c>
      <c r="D370" s="271"/>
      <c r="E370" s="268">
        <f>+C370*E369*$K$3</f>
        <v>16446.900000000001</v>
      </c>
    </row>
    <row r="371" spans="1:5" ht="16.5">
      <c r="A371" s="289" t="s">
        <v>601</v>
      </c>
      <c r="B371" s="269" t="str">
        <f>+VLOOKUP(A371,MATERIALES!$A$2:$I$245,2,0)</f>
        <v>DIA</v>
      </c>
      <c r="C371" s="426">
        <v>0.6</v>
      </c>
      <c r="D371" s="270">
        <f>+VLOOKUP(A371,MATERIALES!$A$2:$I$245,9,0)</f>
        <v>126080</v>
      </c>
      <c r="E371" s="424">
        <f>+ROUND(C371*D371,0)</f>
        <v>75648</v>
      </c>
    </row>
    <row r="372" spans="1:5" ht="16.5">
      <c r="A372" s="882" t="s">
        <v>602</v>
      </c>
      <c r="B372" s="882"/>
      <c r="C372" s="882"/>
      <c r="D372" s="882"/>
      <c r="E372" s="263">
        <f>+ROUND(SUM(E369:E371),0)</f>
        <v>256564</v>
      </c>
    </row>
    <row r="374" spans="1:5" ht="15" thickBot="1"/>
    <row r="375" spans="1:5" ht="16.5">
      <c r="A375" s="886" t="s">
        <v>689</v>
      </c>
      <c r="B375" s="886"/>
      <c r="C375" s="887"/>
      <c r="D375" s="254" t="s">
        <v>592</v>
      </c>
      <c r="E375" s="255" t="s">
        <v>8</v>
      </c>
    </row>
    <row r="376" spans="1:5" ht="16.5">
      <c r="A376" s="888"/>
      <c r="B376" s="888"/>
      <c r="C376" s="889"/>
      <c r="D376" s="256" t="s">
        <v>593</v>
      </c>
      <c r="E376" s="257"/>
    </row>
    <row r="377" spans="1:5" ht="16.5">
      <c r="A377" s="293" t="s">
        <v>594</v>
      </c>
      <c r="B377" s="247" t="s">
        <v>595</v>
      </c>
      <c r="C377" s="247" t="s">
        <v>596</v>
      </c>
      <c r="D377" s="248" t="s">
        <v>597</v>
      </c>
      <c r="E377" s="249" t="s">
        <v>598</v>
      </c>
    </row>
    <row r="378" spans="1:5" ht="16.5">
      <c r="A378" s="343" t="s">
        <v>704</v>
      </c>
      <c r="B378" s="250" t="str">
        <f>+VLOOKUP(A378,MATERIALES!$A$2:$I$245,2,0)</f>
        <v>Un</v>
      </c>
      <c r="C378" s="328">
        <v>1</v>
      </c>
      <c r="D378" s="252">
        <f>+VLOOKUP(A378,MATERIALES!$A$2:$I$245,9,0)</f>
        <v>6900</v>
      </c>
      <c r="E378" s="251">
        <f t="shared" ref="E378:E387" si="9">+C378*D378</f>
        <v>6900</v>
      </c>
    </row>
    <row r="379" spans="1:5" ht="16.5">
      <c r="A379" s="343" t="s">
        <v>705</v>
      </c>
      <c r="B379" s="250" t="str">
        <f>+VLOOKUP(A379,MATERIALES!$A$2:$I$245,2,0)</f>
        <v>Un</v>
      </c>
      <c r="C379" s="328">
        <v>1</v>
      </c>
      <c r="D379" s="252">
        <f>+VLOOKUP(A379,MATERIALES!$A$2:$I$245,9,0)</f>
        <v>27900</v>
      </c>
      <c r="E379" s="251">
        <f t="shared" si="9"/>
        <v>27900</v>
      </c>
    </row>
    <row r="380" spans="1:5" ht="16.5">
      <c r="A380" s="343" t="s">
        <v>706</v>
      </c>
      <c r="B380" s="250" t="str">
        <f>+VLOOKUP(A380,MATERIALES!$A$2:$I$245,2,0)</f>
        <v>Un</v>
      </c>
      <c r="C380" s="328">
        <v>1</v>
      </c>
      <c r="D380" s="252">
        <f>+VLOOKUP(A380,MATERIALES!$A$2:$I$245,9,0)</f>
        <v>2074</v>
      </c>
      <c r="E380" s="251">
        <f t="shared" si="9"/>
        <v>2074</v>
      </c>
    </row>
    <row r="381" spans="1:5" ht="16.5">
      <c r="A381" s="343" t="s">
        <v>707</v>
      </c>
      <c r="B381" s="250" t="str">
        <f>+VLOOKUP(A381,MATERIALES!$A$2:$I$245,2,0)</f>
        <v>Un</v>
      </c>
      <c r="C381" s="328">
        <v>4</v>
      </c>
      <c r="D381" s="252">
        <f>+VLOOKUP(A381,MATERIALES!$A$2:$I$245,9,0)</f>
        <v>6927</v>
      </c>
      <c r="E381" s="251">
        <f t="shared" si="9"/>
        <v>27708</v>
      </c>
    </row>
    <row r="382" spans="1:5" ht="16.5">
      <c r="A382" s="343" t="s">
        <v>708</v>
      </c>
      <c r="B382" s="250" t="str">
        <f>+VLOOKUP(A382,MATERIALES!$A$2:$I$245,2,0)</f>
        <v>Un</v>
      </c>
      <c r="C382" s="328">
        <v>30</v>
      </c>
      <c r="D382" s="252">
        <f>+VLOOKUP(A382,MATERIALES!$A$2:$I$245,9,0)</f>
        <v>3600</v>
      </c>
      <c r="E382" s="251">
        <f t="shared" si="9"/>
        <v>108000</v>
      </c>
    </row>
    <row r="383" spans="1:5" ht="16.5">
      <c r="A383" s="343" t="s">
        <v>709</v>
      </c>
      <c r="B383" s="250" t="str">
        <f>+VLOOKUP(A383,MATERIALES!$A$2:$I$245,2,0)</f>
        <v>Un</v>
      </c>
      <c r="C383" s="328">
        <v>1</v>
      </c>
      <c r="D383" s="252">
        <f>+VLOOKUP(A383,MATERIALES!$A$2:$I$245,9,0)</f>
        <v>482191</v>
      </c>
      <c r="E383" s="251">
        <f t="shared" si="9"/>
        <v>482191</v>
      </c>
    </row>
    <row r="384" spans="1:5" ht="16.5">
      <c r="A384" s="343" t="s">
        <v>710</v>
      </c>
      <c r="B384" s="250" t="str">
        <f>+VLOOKUP(A384,MATERIALES!$A$2:$I$245,2,0)</f>
        <v>Un</v>
      </c>
      <c r="C384" s="328">
        <v>1</v>
      </c>
      <c r="D384" s="252">
        <f>+VLOOKUP(A384,MATERIALES!$A$2:$I$245,9,0)</f>
        <v>14087</v>
      </c>
      <c r="E384" s="251">
        <f t="shared" si="9"/>
        <v>14087</v>
      </c>
    </row>
    <row r="385" spans="1:6" ht="16.5">
      <c r="A385" s="340" t="s">
        <v>712</v>
      </c>
      <c r="B385" s="250" t="str">
        <f>+VLOOKUP(A385,MATERIALES!$A$2:$I$245,2,0)</f>
        <v>Un</v>
      </c>
      <c r="C385" s="328">
        <v>2</v>
      </c>
      <c r="D385" s="252">
        <f>+VLOOKUP(A385,MATERIALES!$A$2:$I$245,9,0)</f>
        <v>13800</v>
      </c>
      <c r="E385" s="251">
        <f t="shared" si="9"/>
        <v>27600</v>
      </c>
    </row>
    <row r="386" spans="1:6" ht="16.5">
      <c r="A386" s="340" t="s">
        <v>712</v>
      </c>
      <c r="B386" s="250" t="str">
        <f>+VLOOKUP(A386,MATERIALES!$A$2:$I$245,2,0)</f>
        <v>Un</v>
      </c>
      <c r="C386" s="328">
        <v>2</v>
      </c>
      <c r="D386" s="252">
        <f>+VLOOKUP(A386,MATERIALES!$A$2:$I$245,9,0)</f>
        <v>13800</v>
      </c>
      <c r="E386" s="251">
        <f t="shared" si="9"/>
        <v>27600</v>
      </c>
    </row>
    <row r="387" spans="1:6" ht="16.5">
      <c r="A387" s="299" t="s">
        <v>647</v>
      </c>
      <c r="B387" s="250" t="str">
        <f>+VLOOKUP(A387,MATERIALES!$A$2:$I$245,2,0)</f>
        <v>Hr</v>
      </c>
      <c r="C387" s="328">
        <v>1</v>
      </c>
      <c r="D387" s="252">
        <f>+VLOOKUP(A387,MATERIALES!$A$2:$I$245,9,0)</f>
        <v>101389</v>
      </c>
      <c r="E387" s="251">
        <f t="shared" si="9"/>
        <v>101389</v>
      </c>
    </row>
    <row r="388" spans="1:6" ht="16.5">
      <c r="A388" s="883"/>
      <c r="B388" s="884"/>
      <c r="C388" s="884"/>
      <c r="D388" s="884"/>
      <c r="E388" s="885"/>
    </row>
    <row r="389" spans="1:6" ht="16.5">
      <c r="A389" s="880" t="s">
        <v>599</v>
      </c>
      <c r="B389" s="881"/>
      <c r="C389" s="881"/>
      <c r="D389" s="881"/>
      <c r="E389" s="251">
        <f>SUM(E377:E387)</f>
        <v>825449</v>
      </c>
    </row>
    <row r="390" spans="1:6" ht="16.5">
      <c r="A390" s="271" t="s">
        <v>600</v>
      </c>
      <c r="B390" s="271"/>
      <c r="C390" s="423">
        <v>1</v>
      </c>
      <c r="D390" s="271"/>
      <c r="E390" s="268">
        <f>+C390*E389*$K$3</f>
        <v>82544.900000000009</v>
      </c>
      <c r="F390" t="s">
        <v>1099</v>
      </c>
    </row>
    <row r="391" spans="1:6" ht="16.5">
      <c r="A391" s="289" t="s">
        <v>601</v>
      </c>
      <c r="B391" s="269" t="str">
        <f>+VLOOKUP(A391,MATERIALES!$A$2:$I$245,2,0)</f>
        <v>DIA</v>
      </c>
      <c r="C391" s="426">
        <v>1.5</v>
      </c>
      <c r="D391" s="270">
        <f>+VLOOKUP(A391,MATERIALES!$A$2:$I$245,9,0)</f>
        <v>126080</v>
      </c>
      <c r="E391" s="424">
        <f>+ROUND(C391*D391,0)</f>
        <v>189120</v>
      </c>
      <c r="F391" t="s">
        <v>1100</v>
      </c>
    </row>
    <row r="392" spans="1:6" ht="16.5">
      <c r="A392" s="882" t="s">
        <v>602</v>
      </c>
      <c r="B392" s="882"/>
      <c r="C392" s="882"/>
      <c r="D392" s="882"/>
      <c r="E392" s="263">
        <f>+ROUND(SUM(E389:E391),0)</f>
        <v>1097114</v>
      </c>
    </row>
    <row r="393" spans="1:6" ht="16.5">
      <c r="A393" s="279"/>
      <c r="B393" s="279"/>
      <c r="C393" s="279"/>
      <c r="D393" s="279"/>
      <c r="E393" s="280"/>
    </row>
    <row r="394" spans="1:6" ht="15" thickBot="1"/>
    <row r="395" spans="1:6" ht="16.5">
      <c r="A395" s="886" t="s">
        <v>703</v>
      </c>
      <c r="B395" s="886"/>
      <c r="C395" s="887"/>
      <c r="D395" s="254" t="s">
        <v>592</v>
      </c>
      <c r="E395" s="255" t="s">
        <v>8</v>
      </c>
    </row>
    <row r="396" spans="1:6" ht="16.5">
      <c r="A396" s="888"/>
      <c r="B396" s="888"/>
      <c r="C396" s="889"/>
      <c r="D396" s="256" t="s">
        <v>593</v>
      </c>
      <c r="E396" s="257"/>
    </row>
    <row r="397" spans="1:6" ht="16.5">
      <c r="A397" s="323"/>
      <c r="B397" s="323"/>
      <c r="C397" s="323"/>
      <c r="D397" s="341"/>
      <c r="E397" s="342"/>
    </row>
    <row r="398" spans="1:6" ht="16.5">
      <c r="A398" s="293" t="s">
        <v>594</v>
      </c>
      <c r="B398" s="247" t="s">
        <v>595</v>
      </c>
      <c r="C398" s="247" t="s">
        <v>596</v>
      </c>
      <c r="D398" s="248" t="s">
        <v>597</v>
      </c>
      <c r="E398" s="249" t="s">
        <v>598</v>
      </c>
    </row>
    <row r="399" spans="1:6" ht="16.5">
      <c r="A399" s="343" t="s">
        <v>704</v>
      </c>
      <c r="B399" s="250" t="str">
        <f>+VLOOKUP(A399,MATERIALES!$A$2:$I$245,2,0)</f>
        <v>Un</v>
      </c>
      <c r="C399" s="328">
        <v>1</v>
      </c>
      <c r="D399" s="252">
        <f>+VLOOKUP(A399,MATERIALES!$A$2:$I$245,9,0)</f>
        <v>6900</v>
      </c>
      <c r="E399" s="251">
        <f t="shared" ref="E399:E406" si="10">+C399*D399</f>
        <v>6900</v>
      </c>
    </row>
    <row r="400" spans="1:6" ht="16.5">
      <c r="A400" s="343" t="s">
        <v>705</v>
      </c>
      <c r="B400" s="250" t="str">
        <f>+VLOOKUP(A400,MATERIALES!$A$2:$I$245,2,0)</f>
        <v>Un</v>
      </c>
      <c r="C400" s="328">
        <v>1</v>
      </c>
      <c r="D400" s="252">
        <f>+VLOOKUP(A400,MATERIALES!$A$2:$I$245,9,0)</f>
        <v>27900</v>
      </c>
      <c r="E400" s="251">
        <f t="shared" si="10"/>
        <v>27900</v>
      </c>
    </row>
    <row r="401" spans="1:6" ht="16.5">
      <c r="A401" s="343" t="s">
        <v>706</v>
      </c>
      <c r="B401" s="250" t="str">
        <f>+VLOOKUP(A401,MATERIALES!$A$2:$I$245,2,0)</f>
        <v>Un</v>
      </c>
      <c r="C401" s="328">
        <v>1</v>
      </c>
      <c r="D401" s="252">
        <f>+VLOOKUP(A401,MATERIALES!$A$2:$I$245,9,0)</f>
        <v>2074</v>
      </c>
      <c r="E401" s="251">
        <f t="shared" si="10"/>
        <v>2074</v>
      </c>
    </row>
    <row r="402" spans="1:6" ht="16.5">
      <c r="A402" s="343" t="s">
        <v>707</v>
      </c>
      <c r="B402" s="250" t="str">
        <f>+VLOOKUP(A402,MATERIALES!$A$2:$I$245,2,0)</f>
        <v>Un</v>
      </c>
      <c r="C402" s="328">
        <v>4</v>
      </c>
      <c r="D402" s="252">
        <f>+VLOOKUP(A402,MATERIALES!$A$2:$I$245,9,0)</f>
        <v>6927</v>
      </c>
      <c r="E402" s="251">
        <f t="shared" si="10"/>
        <v>27708</v>
      </c>
    </row>
    <row r="403" spans="1:6" ht="16.5">
      <c r="A403" s="343" t="s">
        <v>708</v>
      </c>
      <c r="B403" s="250" t="str">
        <f>+VLOOKUP(A403,MATERIALES!$A$2:$I$245,2,0)</f>
        <v>Un</v>
      </c>
      <c r="C403" s="328">
        <v>30</v>
      </c>
      <c r="D403" s="252">
        <f>+VLOOKUP(A403,MATERIALES!$A$2:$I$245,9,0)</f>
        <v>3600</v>
      </c>
      <c r="E403" s="251">
        <f t="shared" si="10"/>
        <v>108000</v>
      </c>
    </row>
    <row r="404" spans="1:6" ht="16.5">
      <c r="A404" s="343" t="s">
        <v>709</v>
      </c>
      <c r="B404" s="250" t="str">
        <f>+VLOOKUP(A404,MATERIALES!$A$2:$I$245,2,0)</f>
        <v>Un</v>
      </c>
      <c r="C404" s="328">
        <v>0</v>
      </c>
      <c r="D404" s="252">
        <f>+VLOOKUP(A404,MATERIALES!$A$2:$I$245,9,0)</f>
        <v>482191</v>
      </c>
      <c r="E404" s="251">
        <f t="shared" si="10"/>
        <v>0</v>
      </c>
      <c r="F404" t="s">
        <v>1123</v>
      </c>
    </row>
    <row r="405" spans="1:6" ht="16.5">
      <c r="A405" s="343" t="s">
        <v>710</v>
      </c>
      <c r="B405" s="250" t="str">
        <f>+VLOOKUP(A405,MATERIALES!$A$2:$I$245,2,0)</f>
        <v>Un</v>
      </c>
      <c r="C405" s="328">
        <v>1</v>
      </c>
      <c r="D405" s="252">
        <f>+VLOOKUP(A405,MATERIALES!$A$2:$I$245,9,0)</f>
        <v>14087</v>
      </c>
      <c r="E405" s="251">
        <f t="shared" si="10"/>
        <v>14087</v>
      </c>
    </row>
    <row r="406" spans="1:6" ht="16.5">
      <c r="A406" s="340" t="s">
        <v>712</v>
      </c>
      <c r="B406" s="250" t="str">
        <f>+VLOOKUP(A406,MATERIALES!$A$2:$I$245,2,0)</f>
        <v>Un</v>
      </c>
      <c r="C406" s="328">
        <v>2</v>
      </c>
      <c r="D406" s="252">
        <f>+VLOOKUP(A406,MATERIALES!$A$2:$I$245,9,0)</f>
        <v>13800</v>
      </c>
      <c r="E406" s="251">
        <f t="shared" si="10"/>
        <v>27600</v>
      </c>
    </row>
    <row r="407" spans="1:6" ht="16.5">
      <c r="A407" s="264"/>
      <c r="B407" s="265"/>
      <c r="C407" s="266"/>
      <c r="D407" s="267"/>
      <c r="E407" s="268"/>
    </row>
    <row r="408" spans="1:6" ht="16.5">
      <c r="A408" s="883"/>
      <c r="B408" s="884"/>
      <c r="C408" s="884"/>
      <c r="D408" s="884"/>
      <c r="E408" s="885"/>
    </row>
    <row r="409" spans="1:6" ht="16.5">
      <c r="A409" s="880" t="s">
        <v>599</v>
      </c>
      <c r="B409" s="881"/>
      <c r="C409" s="881"/>
      <c r="D409" s="881"/>
      <c r="E409" s="251">
        <f>SUM(E399:E406)</f>
        <v>214269</v>
      </c>
    </row>
    <row r="410" spans="1:6" ht="16.5">
      <c r="A410" s="271" t="s">
        <v>600</v>
      </c>
      <c r="B410" s="271"/>
      <c r="C410" s="423">
        <v>0.5</v>
      </c>
      <c r="D410" s="271"/>
      <c r="E410" s="268">
        <f>+C410*E409*$K$3</f>
        <v>10713.45</v>
      </c>
    </row>
    <row r="411" spans="1:6" ht="16.5">
      <c r="A411" s="289" t="s">
        <v>601</v>
      </c>
      <c r="B411" s="269" t="str">
        <f>+VLOOKUP(A411,MATERIALES!$A$2:$I$245,2,0)</f>
        <v>DIA</v>
      </c>
      <c r="C411" s="426">
        <v>0.6</v>
      </c>
      <c r="D411" s="270">
        <f>+VLOOKUP(A411,MATERIALES!$A$2:$I$245,9,0)</f>
        <v>126080</v>
      </c>
      <c r="E411" s="424">
        <f>+ROUND(C411*D411,0)</f>
        <v>75648</v>
      </c>
      <c r="F411" t="s">
        <v>1101</v>
      </c>
    </row>
    <row r="412" spans="1:6" ht="16.5">
      <c r="A412" s="882" t="s">
        <v>602</v>
      </c>
      <c r="B412" s="882"/>
      <c r="C412" s="882"/>
      <c r="D412" s="882"/>
      <c r="E412" s="263">
        <f>+ROUND(SUM(E409:E411),0)</f>
        <v>300630</v>
      </c>
    </row>
    <row r="414" spans="1:6" ht="15" thickBot="1"/>
    <row r="415" spans="1:6" ht="16.5">
      <c r="A415" s="886" t="s">
        <v>716</v>
      </c>
      <c r="B415" s="886"/>
      <c r="C415" s="887"/>
      <c r="D415" s="254" t="s">
        <v>592</v>
      </c>
      <c r="E415" s="255" t="s">
        <v>8</v>
      </c>
    </row>
    <row r="416" spans="1:6" ht="16.5">
      <c r="A416" s="888"/>
      <c r="B416" s="888"/>
      <c r="C416" s="889"/>
      <c r="D416" s="256" t="s">
        <v>593</v>
      </c>
      <c r="E416" s="257"/>
    </row>
    <row r="417" spans="1:6" ht="16.5">
      <c r="A417" s="323"/>
      <c r="B417" s="323"/>
      <c r="C417" s="323"/>
      <c r="D417" s="341"/>
      <c r="E417" s="342"/>
    </row>
    <row r="418" spans="1:6" ht="16.5">
      <c r="A418" s="293" t="s">
        <v>594</v>
      </c>
      <c r="B418" s="247" t="s">
        <v>595</v>
      </c>
      <c r="C418" s="247" t="s">
        <v>596</v>
      </c>
      <c r="D418" s="248" t="s">
        <v>597</v>
      </c>
      <c r="E418" s="249" t="s">
        <v>598</v>
      </c>
    </row>
    <row r="419" spans="1:6" ht="16.5">
      <c r="A419" s="343" t="s">
        <v>704</v>
      </c>
      <c r="B419" s="250" t="str">
        <f>+VLOOKUP(A419,MATERIALES!$A$2:$I$245,2,0)</f>
        <v>Un</v>
      </c>
      <c r="C419" s="328">
        <v>1</v>
      </c>
      <c r="D419" s="252">
        <f>+VLOOKUP(A419,MATERIALES!$A$2:$I$245,9,0)</f>
        <v>6900</v>
      </c>
      <c r="E419" s="251">
        <f t="shared" ref="E419:E427" si="11">+C419*D419</f>
        <v>6900</v>
      </c>
    </row>
    <row r="420" spans="1:6" ht="16.5">
      <c r="A420" s="343" t="s">
        <v>705</v>
      </c>
      <c r="B420" s="250" t="str">
        <f>+VLOOKUP(A420,MATERIALES!$A$2:$I$245,2,0)</f>
        <v>Un</v>
      </c>
      <c r="C420" s="328">
        <v>1</v>
      </c>
      <c r="D420" s="252">
        <f>+VLOOKUP(A420,MATERIALES!$A$2:$I$245,9,0)</f>
        <v>27900</v>
      </c>
      <c r="E420" s="251">
        <f t="shared" si="11"/>
        <v>27900</v>
      </c>
    </row>
    <row r="421" spans="1:6" ht="16.5">
      <c r="A421" s="343" t="s">
        <v>706</v>
      </c>
      <c r="B421" s="250" t="str">
        <f>+VLOOKUP(A421,MATERIALES!$A$2:$I$245,2,0)</f>
        <v>Un</v>
      </c>
      <c r="C421" s="328">
        <v>3</v>
      </c>
      <c r="D421" s="252">
        <f>+VLOOKUP(A421,MATERIALES!$A$2:$I$245,9,0)</f>
        <v>2074</v>
      </c>
      <c r="E421" s="251">
        <f t="shared" si="11"/>
        <v>6222</v>
      </c>
    </row>
    <row r="422" spans="1:6" ht="16.5">
      <c r="A422" s="343" t="s">
        <v>707</v>
      </c>
      <c r="B422" s="250" t="str">
        <f>+VLOOKUP(A422,MATERIALES!$A$2:$I$245,2,0)</f>
        <v>Un</v>
      </c>
      <c r="C422" s="328">
        <v>6</v>
      </c>
      <c r="D422" s="252">
        <f>+VLOOKUP(A422,MATERIALES!$A$2:$I$245,9,0)</f>
        <v>6927</v>
      </c>
      <c r="E422" s="251">
        <f t="shared" si="11"/>
        <v>41562</v>
      </c>
    </row>
    <row r="423" spans="1:6" ht="16.5">
      <c r="A423" s="343" t="s">
        <v>708</v>
      </c>
      <c r="B423" s="250" t="str">
        <f>+VLOOKUP(A423,MATERIALES!$A$2:$I$245,2,0)</f>
        <v>Un</v>
      </c>
      <c r="C423" s="328">
        <v>30</v>
      </c>
      <c r="D423" s="252">
        <f>+VLOOKUP(A423,MATERIALES!$A$2:$I$245,9,0)</f>
        <v>3600</v>
      </c>
      <c r="E423" s="251">
        <f t="shared" si="11"/>
        <v>108000</v>
      </c>
    </row>
    <row r="424" spans="1:6" ht="16.5">
      <c r="A424" s="343" t="s">
        <v>694</v>
      </c>
      <c r="B424" s="250" t="str">
        <f>+VLOOKUP(A424,MATERIALES!$A$2:$I$245,2,0)</f>
        <v>Un</v>
      </c>
      <c r="C424" s="328">
        <v>2</v>
      </c>
      <c r="D424" s="252">
        <f>+VLOOKUP(A424,MATERIALES!$A$2:$I$245,9,0)</f>
        <v>9500</v>
      </c>
      <c r="E424" s="251">
        <f>+C424*D424</f>
        <v>19000</v>
      </c>
    </row>
    <row r="425" spans="1:6" ht="16.5">
      <c r="A425" s="343" t="s">
        <v>709</v>
      </c>
      <c r="B425" s="250" t="str">
        <f>+VLOOKUP(A425,MATERIALES!$A$2:$I$245,2,0)</f>
        <v>Un</v>
      </c>
      <c r="C425" s="328">
        <v>1</v>
      </c>
      <c r="D425" s="252">
        <f>+VLOOKUP(A425,MATERIALES!$A$2:$I$245,9,0)</f>
        <v>482191</v>
      </c>
      <c r="E425" s="251">
        <f t="shared" si="11"/>
        <v>482191</v>
      </c>
    </row>
    <row r="426" spans="1:6" ht="16.5">
      <c r="A426" s="343" t="s">
        <v>710</v>
      </c>
      <c r="B426" s="250" t="str">
        <f>+VLOOKUP(A426,MATERIALES!$A$2:$I$245,2,0)</f>
        <v>Un</v>
      </c>
      <c r="C426" s="328">
        <v>1</v>
      </c>
      <c r="D426" s="252">
        <f>+VLOOKUP(A426,MATERIALES!$A$2:$I$245,9,0)</f>
        <v>14087</v>
      </c>
      <c r="E426" s="251">
        <f t="shared" si="11"/>
        <v>14087</v>
      </c>
    </row>
    <row r="427" spans="1:6" ht="16.5">
      <c r="A427" s="340" t="s">
        <v>712</v>
      </c>
      <c r="B427" s="250" t="str">
        <f>+VLOOKUP(A427,MATERIALES!$A$2:$I$245,2,0)</f>
        <v>Un</v>
      </c>
      <c r="C427" s="328">
        <v>1</v>
      </c>
      <c r="D427" s="252">
        <f>+VLOOKUP(A427,MATERIALES!$A$2:$I$245,9,0)</f>
        <v>13800</v>
      </c>
      <c r="E427" s="251">
        <f t="shared" si="11"/>
        <v>13800</v>
      </c>
    </row>
    <row r="428" spans="1:6" ht="16.5">
      <c r="A428" s="340" t="s">
        <v>712</v>
      </c>
      <c r="B428" s="250" t="str">
        <f>+VLOOKUP(A428,MATERIALES!$A$2:$I$245,2,0)</f>
        <v>Un</v>
      </c>
      <c r="C428" s="328">
        <v>1</v>
      </c>
      <c r="D428" s="252">
        <f>+VLOOKUP(A428,MATERIALES!$A$2:$I$245,9,0)</f>
        <v>13800</v>
      </c>
      <c r="E428" s="251">
        <f>+C428*D428</f>
        <v>13800</v>
      </c>
    </row>
    <row r="429" spans="1:6" ht="16.5">
      <c r="A429" s="299" t="s">
        <v>647</v>
      </c>
      <c r="B429" s="250" t="str">
        <f>+VLOOKUP(A429,MATERIALES!$A$2:$I$245,2,0)</f>
        <v>Hr</v>
      </c>
      <c r="C429" s="328">
        <v>1</v>
      </c>
      <c r="D429" s="252">
        <f>+VLOOKUP(A429,MATERIALES!$A$2:$I$245,9,0)</f>
        <v>101389</v>
      </c>
      <c r="E429" s="251">
        <f>+C429*D429</f>
        <v>101389</v>
      </c>
    </row>
    <row r="430" spans="1:6" ht="16.5">
      <c r="A430" s="883"/>
      <c r="B430" s="884"/>
      <c r="C430" s="884"/>
      <c r="D430" s="884"/>
      <c r="E430" s="885"/>
    </row>
    <row r="431" spans="1:6" ht="16.5">
      <c r="A431" s="880" t="s">
        <v>599</v>
      </c>
      <c r="B431" s="881"/>
      <c r="C431" s="881"/>
      <c r="D431" s="881"/>
      <c r="E431" s="251">
        <f>SUM(E419:E429)</f>
        <v>834851</v>
      </c>
    </row>
    <row r="432" spans="1:6" ht="16.5">
      <c r="A432" s="271" t="s">
        <v>600</v>
      </c>
      <c r="B432" s="271"/>
      <c r="C432" s="423">
        <v>1</v>
      </c>
      <c r="D432" s="271"/>
      <c r="E432" s="268">
        <f>+C432*E431*$K$3</f>
        <v>83485.100000000006</v>
      </c>
      <c r="F432" t="s">
        <v>1099</v>
      </c>
    </row>
    <row r="433" spans="1:6" ht="16.5">
      <c r="A433" s="289" t="s">
        <v>601</v>
      </c>
      <c r="B433" s="269" t="str">
        <f>+VLOOKUP(A433,MATERIALES!$A$2:$I$245,2,0)</f>
        <v>DIA</v>
      </c>
      <c r="C433" s="426">
        <v>1.5</v>
      </c>
      <c r="D433" s="270">
        <f>+VLOOKUP(A433,MATERIALES!$A$2:$I$245,9,0)</f>
        <v>126080</v>
      </c>
      <c r="E433" s="424">
        <f>+ROUND(C433*D433,0)</f>
        <v>189120</v>
      </c>
      <c r="F433" t="s">
        <v>1100</v>
      </c>
    </row>
    <row r="434" spans="1:6" ht="16.5">
      <c r="A434" s="882" t="s">
        <v>602</v>
      </c>
      <c r="B434" s="882"/>
      <c r="C434" s="882"/>
      <c r="D434" s="882"/>
      <c r="E434" s="263">
        <f>+ROUND(SUM(E431:E433),0)</f>
        <v>1107456</v>
      </c>
    </row>
    <row r="436" spans="1:6" ht="15" thickBot="1"/>
    <row r="437" spans="1:6" ht="16.5">
      <c r="A437" s="886" t="s">
        <v>717</v>
      </c>
      <c r="B437" s="886"/>
      <c r="C437" s="887"/>
      <c r="D437" s="254" t="s">
        <v>592</v>
      </c>
      <c r="E437" s="255" t="s">
        <v>8</v>
      </c>
    </row>
    <row r="438" spans="1:6" ht="16.5">
      <c r="A438" s="888"/>
      <c r="B438" s="888"/>
      <c r="C438" s="889"/>
      <c r="D438" s="256" t="s">
        <v>593</v>
      </c>
      <c r="E438" s="257"/>
    </row>
    <row r="439" spans="1:6" ht="16.5">
      <c r="A439" s="323"/>
      <c r="B439" s="323"/>
      <c r="C439" s="323"/>
      <c r="D439" s="341"/>
      <c r="E439" s="342"/>
    </row>
    <row r="440" spans="1:6" ht="16.5">
      <c r="A440" s="293" t="s">
        <v>594</v>
      </c>
      <c r="B440" s="247" t="s">
        <v>595</v>
      </c>
      <c r="C440" s="247" t="s">
        <v>596</v>
      </c>
      <c r="D440" s="248" t="s">
        <v>597</v>
      </c>
      <c r="E440" s="249" t="s">
        <v>598</v>
      </c>
    </row>
    <row r="441" spans="1:6" ht="16.5">
      <c r="A441" s="343" t="s">
        <v>704</v>
      </c>
      <c r="B441" s="250" t="str">
        <f>+VLOOKUP(A441,MATERIALES!$A$2:$I$245,2,0)</f>
        <v>Un</v>
      </c>
      <c r="C441" s="328">
        <v>1</v>
      </c>
      <c r="D441" s="252">
        <f>+VLOOKUP(A441,MATERIALES!$A$2:$I$245,9,0)</f>
        <v>6900</v>
      </c>
      <c r="E441" s="251">
        <f t="shared" ref="E441:E450" si="12">+C441*D441</f>
        <v>6900</v>
      </c>
    </row>
    <row r="442" spans="1:6" ht="16.5">
      <c r="A442" s="343" t="s">
        <v>705</v>
      </c>
      <c r="B442" s="250" t="str">
        <f>+VLOOKUP(A442,MATERIALES!$A$2:$I$245,2,0)</f>
        <v>Un</v>
      </c>
      <c r="C442" s="328">
        <v>1</v>
      </c>
      <c r="D442" s="252">
        <f>+VLOOKUP(A442,MATERIALES!$A$2:$I$245,9,0)</f>
        <v>27900</v>
      </c>
      <c r="E442" s="251">
        <f t="shared" si="12"/>
        <v>27900</v>
      </c>
    </row>
    <row r="443" spans="1:6" ht="16.5">
      <c r="A443" s="343" t="s">
        <v>706</v>
      </c>
      <c r="B443" s="250" t="str">
        <f>+VLOOKUP(A443,MATERIALES!$A$2:$I$245,2,0)</f>
        <v>Un</v>
      </c>
      <c r="C443" s="328">
        <v>3</v>
      </c>
      <c r="D443" s="252">
        <f>+VLOOKUP(A443,MATERIALES!$A$2:$I$245,9,0)</f>
        <v>2074</v>
      </c>
      <c r="E443" s="251">
        <f t="shared" si="12"/>
        <v>6222</v>
      </c>
    </row>
    <row r="444" spans="1:6" ht="16.5">
      <c r="A444" s="343" t="s">
        <v>707</v>
      </c>
      <c r="B444" s="250" t="str">
        <f>+VLOOKUP(A444,MATERIALES!$A$2:$I$245,2,0)</f>
        <v>Un</v>
      </c>
      <c r="C444" s="328">
        <v>6</v>
      </c>
      <c r="D444" s="252">
        <f>+VLOOKUP(A444,MATERIALES!$A$2:$I$245,9,0)</f>
        <v>6927</v>
      </c>
      <c r="E444" s="251">
        <f t="shared" si="12"/>
        <v>41562</v>
      </c>
    </row>
    <row r="445" spans="1:6" ht="16.5">
      <c r="A445" s="343" t="s">
        <v>708</v>
      </c>
      <c r="B445" s="250" t="str">
        <f>+VLOOKUP(A445,MATERIALES!$A$2:$I$245,2,0)</f>
        <v>Un</v>
      </c>
      <c r="C445" s="328">
        <v>30</v>
      </c>
      <c r="D445" s="252">
        <f>+VLOOKUP(A445,MATERIALES!$A$2:$I$245,9,0)</f>
        <v>3600</v>
      </c>
      <c r="E445" s="251">
        <f t="shared" si="12"/>
        <v>108000</v>
      </c>
    </row>
    <row r="446" spans="1:6" ht="16.5">
      <c r="A446" s="343" t="s">
        <v>694</v>
      </c>
      <c r="B446" s="250" t="str">
        <f>+VLOOKUP(A446,MATERIALES!$A$2:$I$245,2,0)</f>
        <v>Un</v>
      </c>
      <c r="C446" s="328">
        <v>2</v>
      </c>
      <c r="D446" s="252">
        <f>+VLOOKUP(A446,MATERIALES!$A$2:$I$245,9,0)</f>
        <v>9500</v>
      </c>
      <c r="E446" s="251">
        <f t="shared" si="12"/>
        <v>19000</v>
      </c>
    </row>
    <row r="447" spans="1:6" ht="16.5">
      <c r="A447" s="343" t="s">
        <v>709</v>
      </c>
      <c r="B447" s="250" t="str">
        <f>+VLOOKUP(A447,MATERIALES!$A$2:$I$245,2,0)</f>
        <v>Un</v>
      </c>
      <c r="C447" s="328">
        <v>0</v>
      </c>
      <c r="D447" s="252">
        <f>+VLOOKUP(A447,MATERIALES!$A$2:$I$245,9,0)</f>
        <v>482191</v>
      </c>
      <c r="E447" s="251">
        <f t="shared" si="12"/>
        <v>0</v>
      </c>
      <c r="F447" t="s">
        <v>1123</v>
      </c>
    </row>
    <row r="448" spans="1:6" ht="16.5">
      <c r="A448" s="343" t="s">
        <v>710</v>
      </c>
      <c r="B448" s="250" t="str">
        <f>+VLOOKUP(A448,MATERIALES!$A$2:$I$245,2,0)</f>
        <v>Un</v>
      </c>
      <c r="C448" s="328">
        <v>1</v>
      </c>
      <c r="D448" s="252">
        <f>+VLOOKUP(A448,MATERIALES!$A$2:$I$245,9,0)</f>
        <v>14087</v>
      </c>
      <c r="E448" s="251">
        <f t="shared" si="12"/>
        <v>14087</v>
      </c>
    </row>
    <row r="449" spans="1:6" ht="16.5">
      <c r="A449" s="340" t="s">
        <v>712</v>
      </c>
      <c r="B449" s="250" t="str">
        <f>+VLOOKUP(A449,MATERIALES!$A$2:$I$245,2,0)</f>
        <v>Un</v>
      </c>
      <c r="C449" s="328">
        <v>1</v>
      </c>
      <c r="D449" s="252">
        <f>+VLOOKUP(A449,MATERIALES!$A$2:$I$245,9,0)</f>
        <v>13800</v>
      </c>
      <c r="E449" s="251">
        <f t="shared" si="12"/>
        <v>13800</v>
      </c>
    </row>
    <row r="450" spans="1:6" ht="16.5">
      <c r="A450" s="340" t="s">
        <v>712</v>
      </c>
      <c r="B450" s="250" t="str">
        <f>+VLOOKUP(A450,MATERIALES!$A$2:$I$245,2,0)</f>
        <v>Un</v>
      </c>
      <c r="C450" s="328">
        <v>1</v>
      </c>
      <c r="D450" s="252">
        <f>+VLOOKUP(A450,MATERIALES!$A$2:$I$245,9,0)</f>
        <v>13800</v>
      </c>
      <c r="E450" s="251">
        <f t="shared" si="12"/>
        <v>13800</v>
      </c>
    </row>
    <row r="451" spans="1:6" ht="16.5">
      <c r="A451" s="883"/>
      <c r="B451" s="884"/>
      <c r="C451" s="884"/>
      <c r="D451" s="884"/>
      <c r="E451" s="885"/>
    </row>
    <row r="452" spans="1:6" ht="16.5">
      <c r="A452" s="880" t="s">
        <v>599</v>
      </c>
      <c r="B452" s="881"/>
      <c r="C452" s="881"/>
      <c r="D452" s="881"/>
      <c r="E452" s="251">
        <f>SUM(E441:E450)</f>
        <v>251271</v>
      </c>
    </row>
    <row r="453" spans="1:6" ht="16.5">
      <c r="A453" s="271" t="s">
        <v>600</v>
      </c>
      <c r="B453" s="271"/>
      <c r="C453" s="423">
        <v>0.5</v>
      </c>
      <c r="D453" s="271"/>
      <c r="E453" s="268">
        <f>+C453*E452*$K$3</f>
        <v>12563.550000000001</v>
      </c>
    </row>
    <row r="454" spans="1:6" ht="16.5">
      <c r="A454" s="289" t="s">
        <v>601</v>
      </c>
      <c r="B454" s="269" t="str">
        <f>+VLOOKUP(A454,MATERIALES!$A$2:$I$245,2,0)</f>
        <v>DIA</v>
      </c>
      <c r="C454" s="426">
        <v>0.6</v>
      </c>
      <c r="D454" s="270">
        <f>+VLOOKUP(A454,MATERIALES!$A$2:$I$245,9,0)</f>
        <v>126080</v>
      </c>
      <c r="E454" s="424">
        <f>+ROUND(C454*D454,0)</f>
        <v>75648</v>
      </c>
      <c r="F454" t="s">
        <v>1101</v>
      </c>
    </row>
    <row r="455" spans="1:6" ht="16.5">
      <c r="A455" s="882" t="s">
        <v>602</v>
      </c>
      <c r="B455" s="882"/>
      <c r="C455" s="882"/>
      <c r="D455" s="882"/>
      <c r="E455" s="263">
        <f>+ROUND(SUM(E452:E454),0)</f>
        <v>339483</v>
      </c>
    </row>
    <row r="457" spans="1:6" ht="15" thickBot="1"/>
    <row r="458" spans="1:6" ht="16.5">
      <c r="A458" s="886" t="s">
        <v>723</v>
      </c>
      <c r="B458" s="886"/>
      <c r="C458" s="887"/>
      <c r="D458" s="254" t="s">
        <v>592</v>
      </c>
      <c r="E458" s="255" t="s">
        <v>8</v>
      </c>
    </row>
    <row r="459" spans="1:6" ht="16.5">
      <c r="A459" s="888"/>
      <c r="B459" s="888"/>
      <c r="C459" s="889"/>
      <c r="D459" s="256" t="s">
        <v>593</v>
      </c>
      <c r="E459" s="257"/>
    </row>
    <row r="460" spans="1:6" ht="16.5">
      <c r="A460" s="323"/>
      <c r="B460" s="323"/>
      <c r="C460" s="323"/>
      <c r="D460" s="341"/>
      <c r="E460" s="342"/>
    </row>
    <row r="461" spans="1:6" ht="16.5">
      <c r="A461" s="293" t="s">
        <v>594</v>
      </c>
      <c r="B461" s="247" t="s">
        <v>595</v>
      </c>
      <c r="C461" s="247" t="s">
        <v>596</v>
      </c>
      <c r="D461" s="248" t="s">
        <v>597</v>
      </c>
      <c r="E461" s="249" t="s">
        <v>598</v>
      </c>
    </row>
    <row r="462" spans="1:6" ht="16.5">
      <c r="A462" s="343" t="s">
        <v>1102</v>
      </c>
      <c r="B462" s="250" t="str">
        <f>+VLOOKUP(A462,MATERIALES!$A$2:$I$245,2,0)</f>
        <v xml:space="preserve"> Un</v>
      </c>
      <c r="C462" s="328">
        <v>1</v>
      </c>
      <c r="D462" s="252">
        <f>+VLOOKUP(A462,MATERIALES!$A$2:$I$245,9,0)</f>
        <v>130900</v>
      </c>
      <c r="E462" s="251">
        <f>+C462*D462</f>
        <v>130900</v>
      </c>
    </row>
    <row r="463" spans="1:6" ht="16.5">
      <c r="A463" s="343"/>
      <c r="B463" s="250"/>
      <c r="C463" s="328"/>
      <c r="D463" s="252"/>
      <c r="E463" s="251"/>
    </row>
    <row r="464" spans="1:6" ht="16.5">
      <c r="A464" s="883"/>
      <c r="B464" s="884"/>
      <c r="C464" s="884"/>
      <c r="D464" s="884"/>
      <c r="E464" s="885"/>
    </row>
    <row r="465" spans="1:8" ht="16.5">
      <c r="A465" s="880" t="s">
        <v>599</v>
      </c>
      <c r="B465" s="881"/>
      <c r="C465" s="881"/>
      <c r="D465" s="881"/>
      <c r="E465" s="251">
        <f>SUM(E462:E463)</f>
        <v>130900</v>
      </c>
      <c r="F465" s="324"/>
      <c r="G465" s="324"/>
      <c r="H465" s="324"/>
    </row>
    <row r="466" spans="1:8" ht="16.5">
      <c r="A466" s="271" t="s">
        <v>600</v>
      </c>
      <c r="B466" s="271"/>
      <c r="C466" s="423">
        <v>0</v>
      </c>
      <c r="D466" s="271"/>
      <c r="E466" s="268">
        <f>+C466*E465*$K$3</f>
        <v>0</v>
      </c>
      <c r="F466" s="324"/>
      <c r="G466" s="324"/>
      <c r="H466" s="324"/>
    </row>
    <row r="467" spans="1:8" ht="16.5">
      <c r="A467" s="289" t="s">
        <v>601</v>
      </c>
      <c r="B467" s="269" t="str">
        <f>+VLOOKUP(A467,MATERIALES!$A$2:$I$245,2,0)</f>
        <v>DIA</v>
      </c>
      <c r="C467" s="426">
        <v>0</v>
      </c>
      <c r="D467" s="270">
        <f>+VLOOKUP(A467,MATERIALES!$A$2:$I$245,9,0)</f>
        <v>126080</v>
      </c>
      <c r="E467" s="424">
        <f>+ROUND(C467*D467,0)</f>
        <v>0</v>
      </c>
    </row>
    <row r="468" spans="1:8" ht="16.5">
      <c r="A468" s="882" t="s">
        <v>602</v>
      </c>
      <c r="B468" s="882"/>
      <c r="C468" s="882"/>
      <c r="D468" s="882"/>
      <c r="E468" s="263">
        <f>+ROUND(SUM(E465:E467),0)</f>
        <v>130900</v>
      </c>
    </row>
    <row r="470" spans="1:8" ht="15" thickBot="1"/>
    <row r="471" spans="1:8" ht="16.5">
      <c r="A471" s="886" t="s">
        <v>724</v>
      </c>
      <c r="B471" s="886"/>
      <c r="C471" s="887"/>
      <c r="D471" s="254" t="s">
        <v>592</v>
      </c>
      <c r="E471" s="255" t="s">
        <v>8</v>
      </c>
    </row>
    <row r="472" spans="1:8" ht="16.5">
      <c r="A472" s="888"/>
      <c r="B472" s="888"/>
      <c r="C472" s="889"/>
      <c r="D472" s="256" t="s">
        <v>593</v>
      </c>
      <c r="E472" s="257"/>
    </row>
    <row r="473" spans="1:8" ht="16.5">
      <c r="A473" s="323"/>
      <c r="B473" s="323"/>
      <c r="C473" s="323"/>
      <c r="D473" s="341"/>
      <c r="E473" s="342"/>
    </row>
    <row r="474" spans="1:8" ht="16.5">
      <c r="A474" s="293" t="s">
        <v>594</v>
      </c>
      <c r="B474" s="247" t="s">
        <v>595</v>
      </c>
      <c r="C474" s="247" t="s">
        <v>596</v>
      </c>
      <c r="D474" s="248" t="s">
        <v>597</v>
      </c>
      <c r="E474" s="249" t="s">
        <v>598</v>
      </c>
    </row>
    <row r="475" spans="1:8" ht="30">
      <c r="A475" s="486" t="s">
        <v>1103</v>
      </c>
      <c r="B475" s="250" t="str">
        <f>+VLOOKUP(A475,MATERIALES!$A$2:$I$245,2,0)</f>
        <v>ml</v>
      </c>
      <c r="C475" s="328">
        <v>1</v>
      </c>
      <c r="D475" s="252">
        <f>+VLOOKUP(A475,MATERIALES!$A$2:$I$245,9,0)</f>
        <v>5290</v>
      </c>
      <c r="E475" s="251">
        <f>+C475*D475</f>
        <v>5290</v>
      </c>
    </row>
    <row r="476" spans="1:8" ht="16.5">
      <c r="A476" s="343"/>
      <c r="B476" s="250"/>
      <c r="C476" s="328"/>
      <c r="D476" s="252"/>
      <c r="E476" s="251"/>
    </row>
    <row r="477" spans="1:8" ht="16.5">
      <c r="A477" s="343"/>
      <c r="B477" s="250"/>
      <c r="C477" s="328"/>
      <c r="D477" s="252"/>
      <c r="E477" s="251"/>
    </row>
    <row r="478" spans="1:8" ht="16.5">
      <c r="A478" s="883"/>
      <c r="B478" s="884"/>
      <c r="C478" s="884"/>
      <c r="D478" s="884"/>
      <c r="E478" s="885"/>
    </row>
    <row r="479" spans="1:8" ht="16.5">
      <c r="A479" s="880" t="s">
        <v>599</v>
      </c>
      <c r="B479" s="881"/>
      <c r="C479" s="881"/>
      <c r="D479" s="881"/>
      <c r="E479" s="251">
        <f>SUM(E475:E477)</f>
        <v>5290</v>
      </c>
    </row>
    <row r="480" spans="1:8" ht="16.5">
      <c r="A480" s="271" t="s">
        <v>600</v>
      </c>
      <c r="B480" s="271"/>
      <c r="C480" s="423">
        <v>0</v>
      </c>
      <c r="D480" s="271"/>
      <c r="E480" s="268">
        <f>+C480*E479*$K$3</f>
        <v>0</v>
      </c>
    </row>
    <row r="481" spans="1:5" ht="16.5">
      <c r="A481" s="289" t="s">
        <v>601</v>
      </c>
      <c r="B481" s="269" t="str">
        <f>+VLOOKUP(A481,MATERIALES!$A$2:$I$245,2,0)</f>
        <v>DIA</v>
      </c>
      <c r="C481" s="426">
        <v>0</v>
      </c>
      <c r="D481" s="270">
        <f>+VLOOKUP(A481,MATERIALES!$A$2:$I$245,9,0)</f>
        <v>126080</v>
      </c>
      <c r="E481" s="424">
        <f>+ROUND(C481*D481,0)</f>
        <v>0</v>
      </c>
    </row>
    <row r="482" spans="1:5" ht="16.5">
      <c r="A482" s="882" t="s">
        <v>602</v>
      </c>
      <c r="B482" s="882"/>
      <c r="C482" s="882"/>
      <c r="D482" s="882"/>
      <c r="E482" s="263">
        <f>+ROUND(SUM(E479:E481),0)</f>
        <v>5290</v>
      </c>
    </row>
    <row r="484" spans="1:5">
      <c r="A484" s="344"/>
      <c r="B484" s="344"/>
      <c r="C484" s="344"/>
      <c r="D484" s="344"/>
      <c r="E484" s="344"/>
    </row>
    <row r="485" spans="1:5" ht="15" thickBot="1"/>
    <row r="486" spans="1:5" ht="16.5">
      <c r="A486" s="886" t="s">
        <v>728</v>
      </c>
      <c r="B486" s="886"/>
      <c r="C486" s="887"/>
      <c r="D486" s="254" t="s">
        <v>592</v>
      </c>
      <c r="E486" s="255" t="s">
        <v>8</v>
      </c>
    </row>
    <row r="487" spans="1:5" ht="16.5">
      <c r="A487" s="888"/>
      <c r="B487" s="888"/>
      <c r="C487" s="889"/>
      <c r="D487" s="256" t="s">
        <v>593</v>
      </c>
      <c r="E487" s="257"/>
    </row>
    <row r="488" spans="1:5" ht="16.5">
      <c r="A488" s="323"/>
      <c r="B488" s="323"/>
      <c r="C488" s="323"/>
      <c r="D488" s="281"/>
      <c r="E488" s="283"/>
    </row>
    <row r="489" spans="1:5" ht="16.5">
      <c r="A489" s="293" t="s">
        <v>594</v>
      </c>
      <c r="B489" s="247" t="s">
        <v>595</v>
      </c>
      <c r="C489" s="247" t="s">
        <v>596</v>
      </c>
      <c r="D489" s="248" t="s">
        <v>597</v>
      </c>
      <c r="E489" s="249" t="s">
        <v>598</v>
      </c>
    </row>
    <row r="490" spans="1:5" ht="30">
      <c r="A490" s="486" t="s">
        <v>827</v>
      </c>
      <c r="B490" s="250" t="str">
        <f>+VLOOKUP(A490,MATERIALES!$A$2:$I$245,2,0)</f>
        <v>Un</v>
      </c>
      <c r="C490" s="328">
        <v>1</v>
      </c>
      <c r="D490" s="252">
        <f>+VLOOKUP(A490,MATERIALES!$A$2:$I$245,9,0)</f>
        <v>244296</v>
      </c>
      <c r="E490" s="251">
        <f>+C490*D490</f>
        <v>244296</v>
      </c>
    </row>
    <row r="491" spans="1:5" ht="16.5">
      <c r="A491" s="343"/>
      <c r="B491" s="250"/>
      <c r="C491" s="328"/>
      <c r="D491" s="252"/>
      <c r="E491" s="251"/>
    </row>
    <row r="492" spans="1:5" ht="16.5">
      <c r="A492" s="883"/>
      <c r="B492" s="884"/>
      <c r="C492" s="884"/>
      <c r="D492" s="884"/>
      <c r="E492" s="885"/>
    </row>
    <row r="493" spans="1:5" ht="16.5">
      <c r="A493" s="880" t="s">
        <v>599</v>
      </c>
      <c r="B493" s="881"/>
      <c r="C493" s="881"/>
      <c r="D493" s="881"/>
      <c r="E493" s="251">
        <f>SUM(E490:E491)</f>
        <v>244296</v>
      </c>
    </row>
    <row r="494" spans="1:5" ht="16.5">
      <c r="A494" s="271" t="s">
        <v>600</v>
      </c>
      <c r="B494" s="271"/>
      <c r="C494" s="423">
        <v>0</v>
      </c>
      <c r="D494" s="271"/>
      <c r="E494" s="268">
        <f>+C494*E493*$K$3</f>
        <v>0</v>
      </c>
    </row>
    <row r="495" spans="1:5" ht="16.5">
      <c r="A495" s="289" t="s">
        <v>601</v>
      </c>
      <c r="B495" s="269" t="str">
        <f>+VLOOKUP(A495,MATERIALES!$A$2:$I$245,2,0)</f>
        <v>DIA</v>
      </c>
      <c r="C495" s="426">
        <v>0</v>
      </c>
      <c r="D495" s="270">
        <f>+VLOOKUP(A495,MATERIALES!$A$2:$I$245,9,0)</f>
        <v>126080</v>
      </c>
      <c r="E495" s="424">
        <f>+ROUND(C495*D495,0)</f>
        <v>0</v>
      </c>
    </row>
    <row r="496" spans="1:5" ht="16.5">
      <c r="A496" s="882" t="s">
        <v>602</v>
      </c>
      <c r="B496" s="882"/>
      <c r="C496" s="882"/>
      <c r="D496" s="882"/>
      <c r="E496" s="263">
        <f>+ROUND(SUM(E493:E495),0)</f>
        <v>244296</v>
      </c>
    </row>
    <row r="498" spans="1:5" ht="15" thickBot="1"/>
    <row r="499" spans="1:5" ht="16.5">
      <c r="A499" s="886" t="s">
        <v>1173</v>
      </c>
      <c r="B499" s="886"/>
      <c r="C499" s="887"/>
      <c r="D499" s="254" t="s">
        <v>592</v>
      </c>
      <c r="E499" s="255" t="s">
        <v>8</v>
      </c>
    </row>
    <row r="500" spans="1:5" ht="16.5">
      <c r="A500" s="888"/>
      <c r="B500" s="888"/>
      <c r="C500" s="889"/>
      <c r="D500" s="256" t="s">
        <v>593</v>
      </c>
      <c r="E500" s="257"/>
    </row>
    <row r="501" spans="1:5" ht="16.5">
      <c r="A501" s="323"/>
      <c r="B501" s="323"/>
      <c r="C501" s="323"/>
      <c r="D501" s="281"/>
      <c r="E501" s="283"/>
    </row>
    <row r="502" spans="1:5" ht="16.5">
      <c r="A502" s="293" t="s">
        <v>594</v>
      </c>
      <c r="B502" s="247" t="s">
        <v>595</v>
      </c>
      <c r="C502" s="247" t="s">
        <v>596</v>
      </c>
      <c r="D502" s="248" t="s">
        <v>597</v>
      </c>
      <c r="E502" s="249" t="s">
        <v>598</v>
      </c>
    </row>
    <row r="503" spans="1:5" ht="30">
      <c r="A503" s="486" t="s">
        <v>1104</v>
      </c>
      <c r="B503" s="250" t="str">
        <f>+VLOOKUP(A503,MATERIALES!$A$2:$I$245,2,0)</f>
        <v>ml</v>
      </c>
      <c r="C503" s="328">
        <v>1</v>
      </c>
      <c r="D503" s="252">
        <f>+VLOOKUP(A503,MATERIALES!$A$2:$I$245,9,0)</f>
        <v>7935</v>
      </c>
      <c r="E503" s="251">
        <f>+C503*D503</f>
        <v>7935</v>
      </c>
    </row>
    <row r="504" spans="1:5" ht="16.5">
      <c r="A504" s="343"/>
      <c r="B504" s="250"/>
      <c r="C504" s="328"/>
      <c r="D504" s="252"/>
      <c r="E504" s="251"/>
    </row>
    <row r="505" spans="1:5" ht="16.5">
      <c r="A505" s="883"/>
      <c r="B505" s="884"/>
      <c r="C505" s="884"/>
      <c r="D505" s="884"/>
      <c r="E505" s="885"/>
    </row>
    <row r="506" spans="1:5" ht="16.5">
      <c r="A506" s="880" t="s">
        <v>599</v>
      </c>
      <c r="B506" s="881"/>
      <c r="C506" s="881"/>
      <c r="D506" s="881"/>
      <c r="E506" s="251">
        <f>SUM(E503:E504)</f>
        <v>7935</v>
      </c>
    </row>
    <row r="507" spans="1:5" ht="16.5">
      <c r="A507" s="271" t="s">
        <v>600</v>
      </c>
      <c r="B507" s="271"/>
      <c r="C507" s="423">
        <v>0</v>
      </c>
      <c r="D507" s="271"/>
      <c r="E507" s="268">
        <f>+C507*E506*$K$3</f>
        <v>0</v>
      </c>
    </row>
    <row r="508" spans="1:5" ht="16.5">
      <c r="A508" s="289" t="s">
        <v>601</v>
      </c>
      <c r="B508" s="269" t="str">
        <f>+VLOOKUP(A508,MATERIALES!$A$2:$I$245,2,0)</f>
        <v>DIA</v>
      </c>
      <c r="C508" s="426">
        <v>0</v>
      </c>
      <c r="D508" s="270">
        <f>+VLOOKUP(A508,MATERIALES!$A$2:$I$245,9,0)</f>
        <v>126080</v>
      </c>
      <c r="E508" s="424">
        <f>+ROUND(C508*D508,0)</f>
        <v>0</v>
      </c>
    </row>
    <row r="509" spans="1:5" ht="16.5">
      <c r="A509" s="882" t="s">
        <v>602</v>
      </c>
      <c r="B509" s="882"/>
      <c r="C509" s="882"/>
      <c r="D509" s="882"/>
      <c r="E509" s="263">
        <f>+ROUND(SUM(E506:E508),0)</f>
        <v>7935</v>
      </c>
    </row>
    <row r="511" spans="1:5" ht="15" thickBot="1"/>
    <row r="512" spans="1:5" ht="16.5">
      <c r="A512" s="886" t="s">
        <v>737</v>
      </c>
      <c r="B512" s="886"/>
      <c r="C512" s="887"/>
      <c r="D512" s="254" t="s">
        <v>592</v>
      </c>
      <c r="E512" s="255" t="s">
        <v>8</v>
      </c>
    </row>
    <row r="513" spans="1:6" ht="16.5">
      <c r="A513" s="888"/>
      <c r="B513" s="888"/>
      <c r="C513" s="889"/>
      <c r="D513" s="256" t="s">
        <v>593</v>
      </c>
      <c r="E513" s="257"/>
    </row>
    <row r="514" spans="1:6" ht="16.5">
      <c r="A514" s="323"/>
      <c r="B514" s="323"/>
      <c r="C514" s="323"/>
      <c r="D514" s="281"/>
      <c r="E514" s="283"/>
    </row>
    <row r="515" spans="1:6" ht="16.5">
      <c r="A515" s="370" t="s">
        <v>594</v>
      </c>
      <c r="B515" s="247" t="s">
        <v>595</v>
      </c>
      <c r="C515" s="247" t="s">
        <v>596</v>
      </c>
      <c r="D515" s="248" t="s">
        <v>597</v>
      </c>
      <c r="E515" s="249" t="s">
        <v>598</v>
      </c>
    </row>
    <row r="516" spans="1:6" ht="16.5">
      <c r="A516" s="371" t="s">
        <v>739</v>
      </c>
      <c r="B516" s="250" t="str">
        <f>+VLOOKUP(A516,MATERIALES!$A$2:$I$245,2,0)</f>
        <v>Un</v>
      </c>
      <c r="C516" s="328">
        <v>2</v>
      </c>
      <c r="D516" s="252">
        <f>+VLOOKUP(A516,MATERIALES!$A$2:$I$245,9,0)</f>
        <v>137</v>
      </c>
      <c r="E516" s="251">
        <f t="shared" ref="E516:E535" si="13">+C516*D516</f>
        <v>274</v>
      </c>
    </row>
    <row r="517" spans="1:6" ht="16.5">
      <c r="A517" s="371" t="s">
        <v>740</v>
      </c>
      <c r="B517" s="250" t="str">
        <f>+VLOOKUP(A517,MATERIALES!$A$2:$I$245,2,0)</f>
        <v>Un</v>
      </c>
      <c r="C517" s="328">
        <v>1</v>
      </c>
      <c r="D517" s="252">
        <f>+VLOOKUP(A517,MATERIALES!$A$2:$I$245,9,0)</f>
        <v>54446</v>
      </c>
      <c r="E517" s="251">
        <f t="shared" si="13"/>
        <v>54446</v>
      </c>
    </row>
    <row r="518" spans="1:6" ht="16.5">
      <c r="A518" s="371" t="s">
        <v>741</v>
      </c>
      <c r="B518" s="250" t="str">
        <f>+VLOOKUP(A518,MATERIALES!$A$2:$I$245,2,0)</f>
        <v>Un</v>
      </c>
      <c r="C518" s="328">
        <v>1</v>
      </c>
      <c r="D518" s="252">
        <f>+VLOOKUP(A518,MATERIALES!$A$2:$I$245,9,0)</f>
        <v>225150</v>
      </c>
      <c r="E518" s="251">
        <f t="shared" si="13"/>
        <v>225150</v>
      </c>
    </row>
    <row r="519" spans="1:6" ht="16.5">
      <c r="A519" s="371" t="s">
        <v>742</v>
      </c>
      <c r="B519" s="250" t="str">
        <f>+VLOOKUP(A519,MATERIALES!$A$2:$I$245,2,0)</f>
        <v>Un</v>
      </c>
      <c r="C519" s="328">
        <v>1</v>
      </c>
      <c r="D519" s="252">
        <f>+VLOOKUP(A519,MATERIALES!$A$2:$I$245,9,0)</f>
        <v>16824</v>
      </c>
      <c r="E519" s="251">
        <f t="shared" si="13"/>
        <v>16824</v>
      </c>
    </row>
    <row r="520" spans="1:6" ht="16.5">
      <c r="A520" s="371" t="s">
        <v>743</v>
      </c>
      <c r="B520" s="250" t="str">
        <f>+VLOOKUP(A520,MATERIALES!$A$2:$I$245,2,0)</f>
        <v>Un</v>
      </c>
      <c r="C520" s="328">
        <v>1</v>
      </c>
      <c r="D520" s="252">
        <f>+VLOOKUP(A520,MATERIALES!$A$2:$I$245,9,0)</f>
        <v>4050</v>
      </c>
      <c r="E520" s="251">
        <f t="shared" si="13"/>
        <v>4050</v>
      </c>
    </row>
    <row r="521" spans="1:6" ht="16.5">
      <c r="A521" s="371" t="s">
        <v>744</v>
      </c>
      <c r="B521" s="250" t="str">
        <f>+VLOOKUP(A521,MATERIALES!$A$2:$I$245,2,0)</f>
        <v>Un</v>
      </c>
      <c r="C521" s="328">
        <v>4</v>
      </c>
      <c r="D521" s="252">
        <f>+VLOOKUP(A521,MATERIALES!$A$2:$I$245,9,0)</f>
        <v>2200</v>
      </c>
      <c r="E521" s="251">
        <f t="shared" si="13"/>
        <v>8800</v>
      </c>
    </row>
    <row r="522" spans="1:6" ht="16.5">
      <c r="A522" s="371" t="s">
        <v>745</v>
      </c>
      <c r="B522" s="250" t="str">
        <f>+VLOOKUP(A522,MATERIALES!$A$2:$I$245,2,0)</f>
        <v>Un</v>
      </c>
      <c r="C522" s="328">
        <v>3</v>
      </c>
      <c r="D522" s="252">
        <f>+VLOOKUP(A522,MATERIALES!$A$2:$I$245,9,0)</f>
        <v>2200</v>
      </c>
      <c r="E522" s="251">
        <f t="shared" si="13"/>
        <v>6600</v>
      </c>
    </row>
    <row r="523" spans="1:6" ht="16.5">
      <c r="A523" s="371" t="s">
        <v>746</v>
      </c>
      <c r="B523" s="250" t="str">
        <f>+VLOOKUP(A523,MATERIALES!$A$2:$I$245,2,0)</f>
        <v>Un</v>
      </c>
      <c r="C523" s="328">
        <v>3</v>
      </c>
      <c r="D523" s="252">
        <f>+VLOOKUP(A523,MATERIALES!$A$2:$I$245,9,0)</f>
        <v>550</v>
      </c>
      <c r="E523" s="251">
        <f t="shared" si="13"/>
        <v>1650</v>
      </c>
    </row>
    <row r="524" spans="1:6" ht="16.5">
      <c r="A524" s="492" t="s">
        <v>1086</v>
      </c>
      <c r="B524" s="250" t="str">
        <f>+VLOOKUP(A524,MATERIALES!$A$2:$I$245,2,0)</f>
        <v>Un</v>
      </c>
      <c r="C524" s="328">
        <v>1</v>
      </c>
      <c r="D524" s="252">
        <f>+VLOOKUP(A524,MATERIALES!$A$2:$I$245,9,0)</f>
        <v>576412</v>
      </c>
      <c r="E524" s="251">
        <f t="shared" si="13"/>
        <v>576412</v>
      </c>
      <c r="F524" t="s">
        <v>1124</v>
      </c>
    </row>
    <row r="525" spans="1:6" ht="16.5">
      <c r="A525" s="371" t="s">
        <v>694</v>
      </c>
      <c r="B525" s="250" t="str">
        <f>+VLOOKUP(A525,MATERIALES!$A$2:$I$245,2,0)</f>
        <v>Un</v>
      </c>
      <c r="C525" s="328">
        <v>1</v>
      </c>
      <c r="D525" s="252">
        <f>+VLOOKUP(A525,MATERIALES!$A$2:$I$245,9,0)</f>
        <v>9500</v>
      </c>
      <c r="E525" s="251">
        <f t="shared" si="13"/>
        <v>9500</v>
      </c>
    </row>
    <row r="526" spans="1:6" ht="16.5">
      <c r="A526" s="371" t="s">
        <v>748</v>
      </c>
      <c r="B526" s="250" t="str">
        <f>+VLOOKUP(A526,MATERIALES!$A$2:$I$245,2,0)</f>
        <v>Un</v>
      </c>
      <c r="C526" s="328">
        <v>4</v>
      </c>
      <c r="D526" s="252">
        <f>+VLOOKUP(A526,MATERIALES!$A$2:$I$245,9,0)</f>
        <v>8070</v>
      </c>
      <c r="E526" s="251">
        <f t="shared" si="13"/>
        <v>32280</v>
      </c>
    </row>
    <row r="527" spans="1:6" ht="16.5">
      <c r="A527" s="371" t="s">
        <v>749</v>
      </c>
      <c r="B527" s="250" t="str">
        <f>+VLOOKUP(A527,MATERIALES!$A$2:$I$245,2,0)</f>
        <v>Un</v>
      </c>
      <c r="C527" s="328">
        <v>2</v>
      </c>
      <c r="D527" s="252">
        <f>+VLOOKUP(A527,MATERIALES!$A$2:$I$245,9,0)</f>
        <v>18781</v>
      </c>
      <c r="E527" s="251">
        <f t="shared" si="13"/>
        <v>37562</v>
      </c>
    </row>
    <row r="528" spans="1:6" ht="16.5">
      <c r="A528" s="371" t="s">
        <v>709</v>
      </c>
      <c r="B528" s="250" t="str">
        <f>+VLOOKUP(A528,MATERIALES!$A$2:$I$245,2,0)</f>
        <v>Un</v>
      </c>
      <c r="C528" s="328">
        <v>1</v>
      </c>
      <c r="D528" s="252">
        <f>+VLOOKUP(A528,MATERIALES!$A$2:$I$245,9,0)</f>
        <v>482191</v>
      </c>
      <c r="E528" s="251">
        <f t="shared" si="13"/>
        <v>482191</v>
      </c>
    </row>
    <row r="529" spans="1:6" ht="16.5">
      <c r="A529" s="371" t="s">
        <v>750</v>
      </c>
      <c r="B529" s="250" t="str">
        <f>+VLOOKUP(A529,MATERIALES!$A$2:$I$245,2,0)</f>
        <v>Un</v>
      </c>
      <c r="C529" s="328">
        <v>1</v>
      </c>
      <c r="D529" s="252">
        <f>+VLOOKUP(A529,MATERIALES!$A$2:$I$245,9,0)</f>
        <v>16151</v>
      </c>
      <c r="E529" s="251">
        <f t="shared" si="13"/>
        <v>16151</v>
      </c>
    </row>
    <row r="530" spans="1:6" ht="16.5">
      <c r="A530" s="371" t="s">
        <v>751</v>
      </c>
      <c r="B530" s="250" t="str">
        <f>+VLOOKUP(A530,MATERIALES!$A$2:$I$245,2,0)</f>
        <v>Un</v>
      </c>
      <c r="C530" s="328">
        <v>2</v>
      </c>
      <c r="D530" s="252">
        <f>+VLOOKUP(A530,MATERIALES!$A$2:$I$245,9,0)</f>
        <v>7762</v>
      </c>
      <c r="E530" s="251">
        <f t="shared" si="13"/>
        <v>15524</v>
      </c>
    </row>
    <row r="531" spans="1:6" ht="16.5">
      <c r="A531" s="371" t="s">
        <v>752</v>
      </c>
      <c r="B531" s="250" t="str">
        <f>+VLOOKUP(A531,MATERIALES!$A$2:$I$245,2,0)</f>
        <v>Un</v>
      </c>
      <c r="C531" s="328">
        <v>4</v>
      </c>
      <c r="D531" s="252">
        <f>+VLOOKUP(A531,MATERIALES!$A$2:$I$245,9,0)</f>
        <v>8549</v>
      </c>
      <c r="E531" s="251">
        <f t="shared" si="13"/>
        <v>34196</v>
      </c>
    </row>
    <row r="532" spans="1:6" ht="16.5">
      <c r="A532" s="371" t="s">
        <v>699</v>
      </c>
      <c r="B532" s="250" t="str">
        <f>+VLOOKUP(A532,MATERIALES!$A$2:$I$245,2,0)</f>
        <v>Un</v>
      </c>
      <c r="C532" s="328">
        <v>1</v>
      </c>
      <c r="D532" s="252">
        <f>+VLOOKUP(A532,MATERIALES!$A$2:$I$245,9,0)</f>
        <v>1600</v>
      </c>
      <c r="E532" s="251">
        <f t="shared" si="13"/>
        <v>1600</v>
      </c>
    </row>
    <row r="533" spans="1:6" ht="16.5">
      <c r="A533" s="371" t="s">
        <v>753</v>
      </c>
      <c r="B533" s="250" t="str">
        <f>+VLOOKUP(A533,MATERIALES!$A$2:$I$245,2,0)</f>
        <v>Un</v>
      </c>
      <c r="C533" s="328">
        <v>2</v>
      </c>
      <c r="D533" s="252">
        <f>+VLOOKUP(A533,MATERIALES!$A$2:$I$245,9,0)</f>
        <v>8750</v>
      </c>
      <c r="E533" s="251">
        <f t="shared" si="13"/>
        <v>17500</v>
      </c>
    </row>
    <row r="534" spans="1:6" ht="16.5">
      <c r="A534" s="371" t="s">
        <v>754</v>
      </c>
      <c r="B534" s="250" t="str">
        <f>+VLOOKUP(A534,MATERIALES!$A$2:$I$245,2,0)</f>
        <v>Un</v>
      </c>
      <c r="C534" s="328">
        <v>1</v>
      </c>
      <c r="D534" s="252">
        <f>+VLOOKUP(A534,MATERIALES!$A$2:$I$245,9,0)</f>
        <v>9760</v>
      </c>
      <c r="E534" s="251">
        <f t="shared" si="13"/>
        <v>9760</v>
      </c>
    </row>
    <row r="535" spans="1:6" ht="16.5">
      <c r="A535" s="371" t="s">
        <v>647</v>
      </c>
      <c r="B535" s="250" t="str">
        <f>+VLOOKUP(A535,MATERIALES!$A$2:$I$245,2,0)</f>
        <v>Hr</v>
      </c>
      <c r="C535" s="328">
        <v>1</v>
      </c>
      <c r="D535" s="252">
        <f>+VLOOKUP(A535,MATERIALES!$A$2:$I$245,9,0)</f>
        <v>101389</v>
      </c>
      <c r="E535" s="251">
        <f t="shared" si="13"/>
        <v>101389</v>
      </c>
    </row>
    <row r="536" spans="1:6" ht="16.5">
      <c r="A536" s="896"/>
      <c r="B536" s="884"/>
      <c r="C536" s="884"/>
      <c r="D536" s="884"/>
      <c r="E536" s="885"/>
    </row>
    <row r="537" spans="1:6" ht="16.5">
      <c r="A537" s="880" t="s">
        <v>599</v>
      </c>
      <c r="B537" s="881"/>
      <c r="C537" s="881"/>
      <c r="D537" s="881"/>
      <c r="E537" s="251">
        <f>SUM(E516:E535)</f>
        <v>1651859</v>
      </c>
    </row>
    <row r="538" spans="1:6" ht="16.5">
      <c r="A538" s="271" t="s">
        <v>600</v>
      </c>
      <c r="B538" s="271"/>
      <c r="C538" s="423">
        <v>0.7</v>
      </c>
      <c r="D538" s="271"/>
      <c r="E538" s="268">
        <f>+C538*E537*$K$3</f>
        <v>115630.12999999999</v>
      </c>
      <c r="F538" t="s">
        <v>1105</v>
      </c>
    </row>
    <row r="539" spans="1:6" ht="16.5">
      <c r="A539" s="289" t="s">
        <v>601</v>
      </c>
      <c r="B539" s="269" t="str">
        <f>+VLOOKUP(A539,MATERIALES!$A$2:$I$245,2,0)</f>
        <v>DIA</v>
      </c>
      <c r="C539" s="426">
        <v>1.8</v>
      </c>
      <c r="D539" s="270">
        <f>+VLOOKUP(A539,MATERIALES!$A$2:$I$245,9,0)</f>
        <v>126080</v>
      </c>
      <c r="E539" s="424">
        <f>+ROUND(C539*D539,0)</f>
        <v>226944</v>
      </c>
      <c r="F539" t="s">
        <v>1106</v>
      </c>
    </row>
    <row r="540" spans="1:6" ht="16.5">
      <c r="A540" s="882" t="s">
        <v>602</v>
      </c>
      <c r="B540" s="882"/>
      <c r="C540" s="882"/>
      <c r="D540" s="882"/>
      <c r="E540" s="263">
        <f>+ROUND(SUM(E537:E539),0)</f>
        <v>1994433</v>
      </c>
    </row>
    <row r="541" spans="1:6" ht="15" thickBot="1"/>
    <row r="542" spans="1:6" ht="16.5">
      <c r="A542" s="886" t="s">
        <v>757</v>
      </c>
      <c r="B542" s="886"/>
      <c r="C542" s="887"/>
      <c r="D542" s="254" t="s">
        <v>592</v>
      </c>
      <c r="E542" s="255" t="s">
        <v>8</v>
      </c>
    </row>
    <row r="543" spans="1:6" ht="16.5">
      <c r="A543" s="888"/>
      <c r="B543" s="888"/>
      <c r="C543" s="889"/>
      <c r="D543" s="256" t="s">
        <v>593</v>
      </c>
      <c r="E543" s="257"/>
    </row>
    <row r="544" spans="1:6" ht="16.5">
      <c r="A544" s="323"/>
      <c r="B544" s="323"/>
      <c r="C544" s="323"/>
      <c r="D544" s="281"/>
      <c r="E544" s="283"/>
    </row>
    <row r="545" spans="1:6" ht="16.5">
      <c r="A545" s="370" t="s">
        <v>594</v>
      </c>
      <c r="B545" s="247" t="s">
        <v>595</v>
      </c>
      <c r="C545" s="247" t="s">
        <v>596</v>
      </c>
      <c r="D545" s="248" t="s">
        <v>597</v>
      </c>
      <c r="E545" s="249" t="s">
        <v>598</v>
      </c>
    </row>
    <row r="546" spans="1:6" ht="16.5">
      <c r="A546" s="371" t="s">
        <v>739</v>
      </c>
      <c r="B546" s="250" t="str">
        <f>+VLOOKUP(A546,MATERIALES!$A$2:$I$245,2,0)</f>
        <v>Un</v>
      </c>
      <c r="C546" s="328">
        <v>2</v>
      </c>
      <c r="D546" s="252">
        <f>+VLOOKUP(A546,MATERIALES!$A$2:$I$245,9,0)</f>
        <v>137</v>
      </c>
      <c r="E546" s="251">
        <f t="shared" ref="E546:E565" si="14">+C546*D546</f>
        <v>274</v>
      </c>
    </row>
    <row r="547" spans="1:6" ht="16.5">
      <c r="A547" s="371" t="s">
        <v>740</v>
      </c>
      <c r="B547" s="250" t="str">
        <f>+VLOOKUP(A547,MATERIALES!$A$2:$I$245,2,0)</f>
        <v>Un</v>
      </c>
      <c r="C547" s="328">
        <v>0</v>
      </c>
      <c r="D547" s="252">
        <f>+VLOOKUP(A547,MATERIALES!$A$2:$I$245,9,0)</f>
        <v>54446</v>
      </c>
      <c r="E547" s="251">
        <f t="shared" si="14"/>
        <v>0</v>
      </c>
      <c r="F547" t="s">
        <v>1125</v>
      </c>
    </row>
    <row r="548" spans="1:6" ht="16.5">
      <c r="A548" s="371" t="s">
        <v>741</v>
      </c>
      <c r="B548" s="250" t="str">
        <f>+VLOOKUP(A548,MATERIALES!$A$2:$I$245,2,0)</f>
        <v>Un</v>
      </c>
      <c r="C548" s="328">
        <v>1</v>
      </c>
      <c r="D548" s="252">
        <f>+VLOOKUP(A548,MATERIALES!$A$2:$I$245,9,0)</f>
        <v>225150</v>
      </c>
      <c r="E548" s="251">
        <f t="shared" si="14"/>
        <v>225150</v>
      </c>
    </row>
    <row r="549" spans="1:6" ht="16.5">
      <c r="A549" s="371" t="s">
        <v>742</v>
      </c>
      <c r="B549" s="250" t="str">
        <f>+VLOOKUP(A549,MATERIALES!$A$2:$I$245,2,0)</f>
        <v>Un</v>
      </c>
      <c r="C549" s="328">
        <v>0</v>
      </c>
      <c r="D549" s="252">
        <f>+VLOOKUP(A549,MATERIALES!$A$2:$I$245,9,0)</f>
        <v>16824</v>
      </c>
      <c r="E549" s="251">
        <f t="shared" si="14"/>
        <v>0</v>
      </c>
      <c r="F549" t="s">
        <v>1125</v>
      </c>
    </row>
    <row r="550" spans="1:6" ht="16.5">
      <c r="A550" s="371" t="s">
        <v>743</v>
      </c>
      <c r="B550" s="250" t="str">
        <f>+VLOOKUP(A550,MATERIALES!$A$2:$I$245,2,0)</f>
        <v>Un</v>
      </c>
      <c r="C550" s="328">
        <v>1</v>
      </c>
      <c r="D550" s="252">
        <f>+VLOOKUP(A550,MATERIALES!$A$2:$I$245,9,0)</f>
        <v>4050</v>
      </c>
      <c r="E550" s="251">
        <f t="shared" si="14"/>
        <v>4050</v>
      </c>
    </row>
    <row r="551" spans="1:6" ht="16.5">
      <c r="A551" s="371" t="s">
        <v>744</v>
      </c>
      <c r="B551" s="250" t="str">
        <f>+VLOOKUP(A551,MATERIALES!$A$2:$I$245,2,0)</f>
        <v>Un</v>
      </c>
      <c r="C551" s="328">
        <v>4</v>
      </c>
      <c r="D551" s="252">
        <f>+VLOOKUP(A551,MATERIALES!$A$2:$I$245,9,0)</f>
        <v>2200</v>
      </c>
      <c r="E551" s="251">
        <f t="shared" si="14"/>
        <v>8800</v>
      </c>
    </row>
    <row r="552" spans="1:6" ht="16.5">
      <c r="A552" s="371" t="s">
        <v>745</v>
      </c>
      <c r="B552" s="250" t="str">
        <f>+VLOOKUP(A552,MATERIALES!$A$2:$I$245,2,0)</f>
        <v>Un</v>
      </c>
      <c r="C552" s="328">
        <v>3</v>
      </c>
      <c r="D552" s="252">
        <f>+VLOOKUP(A552,MATERIALES!$A$2:$I$245,9,0)</f>
        <v>2200</v>
      </c>
      <c r="E552" s="251">
        <f t="shared" si="14"/>
        <v>6600</v>
      </c>
    </row>
    <row r="553" spans="1:6" ht="16.5">
      <c r="A553" s="371" t="s">
        <v>746</v>
      </c>
      <c r="B553" s="250" t="str">
        <f>+VLOOKUP(A553,MATERIALES!$A$2:$I$245,2,0)</f>
        <v>Un</v>
      </c>
      <c r="C553" s="328">
        <v>3</v>
      </c>
      <c r="D553" s="252">
        <f>+VLOOKUP(A553,MATERIALES!$A$2:$I$245,9,0)</f>
        <v>550</v>
      </c>
      <c r="E553" s="251">
        <f t="shared" si="14"/>
        <v>1650</v>
      </c>
    </row>
    <row r="554" spans="1:6" ht="16.5">
      <c r="A554" s="371" t="s">
        <v>747</v>
      </c>
      <c r="B554" s="250" t="str">
        <f>+VLOOKUP(A554,MATERIALES!$A$2:$I$245,2,0)</f>
        <v>Un</v>
      </c>
      <c r="C554" s="328">
        <v>0</v>
      </c>
      <c r="D554" s="252">
        <f>+VLOOKUP(A554,MATERIALES!$A$2:$I$245,9,0)</f>
        <v>220000</v>
      </c>
      <c r="E554" s="251">
        <f t="shared" si="14"/>
        <v>0</v>
      </c>
      <c r="F554" t="s">
        <v>1125</v>
      </c>
    </row>
    <row r="555" spans="1:6" ht="16.5">
      <c r="A555" s="371" t="s">
        <v>694</v>
      </c>
      <c r="B555" s="250" t="str">
        <f>+VLOOKUP(A555,MATERIALES!$A$2:$I$245,2,0)</f>
        <v>Un</v>
      </c>
      <c r="C555" s="328">
        <v>1</v>
      </c>
      <c r="D555" s="252">
        <f>+VLOOKUP(A555,MATERIALES!$A$2:$I$245,9,0)</f>
        <v>9500</v>
      </c>
      <c r="E555" s="251">
        <f t="shared" si="14"/>
        <v>9500</v>
      </c>
    </row>
    <row r="556" spans="1:6" ht="16.5">
      <c r="A556" s="371" t="s">
        <v>748</v>
      </c>
      <c r="B556" s="250" t="str">
        <f>+VLOOKUP(A556,MATERIALES!$A$2:$I$245,2,0)</f>
        <v>Un</v>
      </c>
      <c r="C556" s="328">
        <v>0</v>
      </c>
      <c r="D556" s="252">
        <f>+VLOOKUP(A556,MATERIALES!$A$2:$I$245,9,0)</f>
        <v>8070</v>
      </c>
      <c r="E556" s="251">
        <f t="shared" si="14"/>
        <v>0</v>
      </c>
      <c r="F556" t="s">
        <v>1125</v>
      </c>
    </row>
    <row r="557" spans="1:6" ht="16.5">
      <c r="A557" s="371" t="s">
        <v>749</v>
      </c>
      <c r="B557" s="250" t="str">
        <f>+VLOOKUP(A557,MATERIALES!$A$2:$I$245,2,0)</f>
        <v>Un</v>
      </c>
      <c r="C557" s="328">
        <v>2</v>
      </c>
      <c r="D557" s="252">
        <f>+VLOOKUP(A557,MATERIALES!$A$2:$I$245,9,0)</f>
        <v>18781</v>
      </c>
      <c r="E557" s="251">
        <f t="shared" si="14"/>
        <v>37562</v>
      </c>
    </row>
    <row r="558" spans="1:6" ht="16.5">
      <c r="A558" s="371" t="s">
        <v>709</v>
      </c>
      <c r="B558" s="250" t="str">
        <f>+VLOOKUP(A558,MATERIALES!$A$2:$I$245,2,0)</f>
        <v>Un</v>
      </c>
      <c r="C558" s="328">
        <v>0</v>
      </c>
      <c r="D558" s="252">
        <f>+VLOOKUP(A558,MATERIALES!$A$2:$I$245,9,0)</f>
        <v>482191</v>
      </c>
      <c r="E558" s="251">
        <f t="shared" si="14"/>
        <v>0</v>
      </c>
      <c r="F558" t="s">
        <v>1123</v>
      </c>
    </row>
    <row r="559" spans="1:6" ht="16.5">
      <c r="A559" s="371" t="s">
        <v>750</v>
      </c>
      <c r="B559" s="250" t="str">
        <f>+VLOOKUP(A559,MATERIALES!$A$2:$I$245,2,0)</f>
        <v>Un</v>
      </c>
      <c r="C559" s="328">
        <v>0</v>
      </c>
      <c r="D559" s="252">
        <f>+VLOOKUP(A559,MATERIALES!$A$2:$I$245,9,0)</f>
        <v>16151</v>
      </c>
      <c r="E559" s="251">
        <f t="shared" si="14"/>
        <v>0</v>
      </c>
      <c r="F559" t="s">
        <v>1125</v>
      </c>
    </row>
    <row r="560" spans="1:6" ht="16.5">
      <c r="A560" s="371" t="s">
        <v>751</v>
      </c>
      <c r="B560" s="250" t="str">
        <f>+VLOOKUP(A560,MATERIALES!$A$2:$I$245,2,0)</f>
        <v>Un</v>
      </c>
      <c r="C560" s="328">
        <v>2</v>
      </c>
      <c r="D560" s="252">
        <f>+VLOOKUP(A560,MATERIALES!$A$2:$I$245,9,0)</f>
        <v>7762</v>
      </c>
      <c r="E560" s="251">
        <f t="shared" si="14"/>
        <v>15524</v>
      </c>
    </row>
    <row r="561" spans="1:6" ht="16.5">
      <c r="A561" s="371" t="s">
        <v>752</v>
      </c>
      <c r="B561" s="250" t="str">
        <f>+VLOOKUP(A561,MATERIALES!$A$2:$I$245,2,0)</f>
        <v>Un</v>
      </c>
      <c r="C561" s="328">
        <v>4</v>
      </c>
      <c r="D561" s="252">
        <f>+VLOOKUP(A561,MATERIALES!$A$2:$I$245,9,0)</f>
        <v>8549</v>
      </c>
      <c r="E561" s="251">
        <f t="shared" si="14"/>
        <v>34196</v>
      </c>
    </row>
    <row r="562" spans="1:6" ht="16.5">
      <c r="A562" s="371" t="s">
        <v>699</v>
      </c>
      <c r="B562" s="250" t="str">
        <f>+VLOOKUP(A562,MATERIALES!$A$2:$I$245,2,0)</f>
        <v>Un</v>
      </c>
      <c r="C562" s="328">
        <v>1</v>
      </c>
      <c r="D562" s="252">
        <f>+VLOOKUP(A562,MATERIALES!$A$2:$I$245,9,0)</f>
        <v>1600</v>
      </c>
      <c r="E562" s="251">
        <f t="shared" si="14"/>
        <v>1600</v>
      </c>
    </row>
    <row r="563" spans="1:6" ht="16.5">
      <c r="A563" s="371" t="s">
        <v>753</v>
      </c>
      <c r="B563" s="250" t="str">
        <f>+VLOOKUP(A563,MATERIALES!$A$2:$I$245,2,0)</f>
        <v>Un</v>
      </c>
      <c r="C563" s="328">
        <v>0</v>
      </c>
      <c r="D563" s="252">
        <f>+VLOOKUP(A563,MATERIALES!$A$2:$I$245,9,0)</f>
        <v>8750</v>
      </c>
      <c r="E563" s="251">
        <f t="shared" si="14"/>
        <v>0</v>
      </c>
      <c r="F563" t="s">
        <v>1125</v>
      </c>
    </row>
    <row r="564" spans="1:6" ht="16.5">
      <c r="A564" s="371" t="s">
        <v>754</v>
      </c>
      <c r="B564" s="250" t="str">
        <f>+VLOOKUP(A564,MATERIALES!$A$2:$I$245,2,0)</f>
        <v>Un</v>
      </c>
      <c r="C564" s="328">
        <v>1</v>
      </c>
      <c r="D564" s="252">
        <f>+VLOOKUP(A564,MATERIALES!$A$2:$I$245,9,0)</f>
        <v>9760</v>
      </c>
      <c r="E564" s="251">
        <f t="shared" si="14"/>
        <v>9760</v>
      </c>
    </row>
    <row r="565" spans="1:6" ht="16.5">
      <c r="A565" s="371" t="s">
        <v>647</v>
      </c>
      <c r="B565" s="250" t="str">
        <f>+VLOOKUP(A565,MATERIALES!$A$2:$I$245,2,0)</f>
        <v>Hr</v>
      </c>
      <c r="C565" s="328">
        <v>0</v>
      </c>
      <c r="D565" s="252">
        <f>+VLOOKUP(A565,MATERIALES!$A$2:$I$245,9,0)</f>
        <v>101389</v>
      </c>
      <c r="E565" s="251">
        <f t="shared" si="14"/>
        <v>0</v>
      </c>
      <c r="F565" t="s">
        <v>1123</v>
      </c>
    </row>
    <row r="566" spans="1:6" ht="16.5">
      <c r="A566" s="896"/>
      <c r="B566" s="884"/>
      <c r="C566" s="884"/>
      <c r="D566" s="884"/>
      <c r="E566" s="885"/>
    </row>
    <row r="567" spans="1:6" ht="16.5">
      <c r="A567" s="880" t="s">
        <v>599</v>
      </c>
      <c r="B567" s="881"/>
      <c r="C567" s="881"/>
      <c r="D567" s="881"/>
      <c r="E567" s="251">
        <f>SUM(E546:E565)</f>
        <v>354666</v>
      </c>
    </row>
    <row r="568" spans="1:6" ht="16.5">
      <c r="A568" s="271" t="s">
        <v>600</v>
      </c>
      <c r="B568" s="271"/>
      <c r="C568" s="423">
        <v>0.5</v>
      </c>
      <c r="D568" s="271"/>
      <c r="E568" s="268">
        <f>+C568*E567*$K$3</f>
        <v>17733.3</v>
      </c>
    </row>
    <row r="569" spans="1:6" ht="16.5">
      <c r="A569" s="289" t="s">
        <v>601</v>
      </c>
      <c r="B569" s="269" t="str">
        <f>+VLOOKUP(A569,MATERIALES!$A$2:$I$245,2,0)</f>
        <v>DIA</v>
      </c>
      <c r="C569" s="426">
        <v>0.8</v>
      </c>
      <c r="D569" s="270">
        <f>+VLOOKUP(A569,MATERIALES!$A$2:$I$245,9,0)</f>
        <v>126080</v>
      </c>
      <c r="E569" s="424">
        <f>+ROUND(C569*D569,0)</f>
        <v>100864</v>
      </c>
    </row>
    <row r="570" spans="1:6" ht="16.5">
      <c r="A570" s="882" t="s">
        <v>602</v>
      </c>
      <c r="B570" s="882"/>
      <c r="C570" s="882"/>
      <c r="D570" s="882"/>
      <c r="E570" s="263">
        <f>+ROUND(SUM(E567:E569),0)</f>
        <v>473263</v>
      </c>
    </row>
    <row r="571" spans="1:6" ht="17.25" thickBot="1">
      <c r="A571" s="279"/>
      <c r="B571" s="279"/>
      <c r="C571" s="279"/>
      <c r="D571" s="279"/>
      <c r="E571" s="280"/>
    </row>
    <row r="572" spans="1:6" ht="16.5">
      <c r="A572" s="886" t="s">
        <v>766</v>
      </c>
      <c r="B572" s="886"/>
      <c r="C572" s="887"/>
      <c r="D572" s="254" t="s">
        <v>592</v>
      </c>
      <c r="E572" s="255" t="s">
        <v>8</v>
      </c>
    </row>
    <row r="573" spans="1:6" ht="16.5">
      <c r="A573" s="888"/>
      <c r="B573" s="888"/>
      <c r="C573" s="889"/>
      <c r="D573" s="256" t="s">
        <v>593</v>
      </c>
      <c r="E573" s="257"/>
    </row>
    <row r="574" spans="1:6" ht="16.5">
      <c r="A574" s="323"/>
      <c r="B574" s="323"/>
      <c r="C574" s="323"/>
      <c r="D574" s="281"/>
      <c r="E574" s="283"/>
    </row>
    <row r="575" spans="1:6" ht="16.5">
      <c r="A575" s="370" t="s">
        <v>594</v>
      </c>
      <c r="B575" s="247" t="s">
        <v>595</v>
      </c>
      <c r="C575" s="247" t="s">
        <v>596</v>
      </c>
      <c r="D575" s="248" t="s">
        <v>597</v>
      </c>
      <c r="E575" s="249" t="s">
        <v>598</v>
      </c>
    </row>
    <row r="576" spans="1:6" ht="16.5">
      <c r="A576" s="371" t="s">
        <v>739</v>
      </c>
      <c r="B576" s="250" t="str">
        <f>+VLOOKUP(A576,MATERIALES!$A$2:$I$245,2,0)</f>
        <v>Un</v>
      </c>
      <c r="C576" s="328">
        <v>3</v>
      </c>
      <c r="D576" s="252">
        <f>+VLOOKUP(A576,MATERIALES!$A$2:$I$245,9,0)</f>
        <v>137</v>
      </c>
      <c r="E576" s="251">
        <f t="shared" ref="E576:E597" si="15">+C576*D576</f>
        <v>411</v>
      </c>
    </row>
    <row r="577" spans="1:6" ht="16.5">
      <c r="A577" s="371" t="s">
        <v>740</v>
      </c>
      <c r="B577" s="250" t="str">
        <f>+VLOOKUP(A577,MATERIALES!$A$2:$I$245,2,0)</f>
        <v>Un</v>
      </c>
      <c r="C577" s="328">
        <v>0</v>
      </c>
      <c r="D577" s="252">
        <f>+VLOOKUP(A577,MATERIALES!$A$2:$I$245,9,0)</f>
        <v>54446</v>
      </c>
      <c r="E577" s="251">
        <f t="shared" si="15"/>
        <v>0</v>
      </c>
      <c r="F577" t="s">
        <v>1125</v>
      </c>
    </row>
    <row r="578" spans="1:6" ht="16.5">
      <c r="A578" s="371" t="s">
        <v>741</v>
      </c>
      <c r="B578" s="250" t="str">
        <f>+VLOOKUP(A578,MATERIALES!$A$2:$I$245,2,0)</f>
        <v>Un</v>
      </c>
      <c r="C578" s="328">
        <v>1</v>
      </c>
      <c r="D578" s="252">
        <f>+VLOOKUP(A578,MATERIALES!$A$2:$I$245,9,0)</f>
        <v>225150</v>
      </c>
      <c r="E578" s="251">
        <f t="shared" si="15"/>
        <v>225150</v>
      </c>
    </row>
    <row r="579" spans="1:6" ht="16.5">
      <c r="A579" s="371" t="s">
        <v>742</v>
      </c>
      <c r="B579" s="250" t="str">
        <f>+VLOOKUP(A579,MATERIALES!$A$2:$I$245,2,0)</f>
        <v>Un</v>
      </c>
      <c r="C579" s="328">
        <v>0</v>
      </c>
      <c r="D579" s="252">
        <f>+VLOOKUP(A579,MATERIALES!$A$2:$I$245,9,0)</f>
        <v>16824</v>
      </c>
      <c r="E579" s="251">
        <f t="shared" si="15"/>
        <v>0</v>
      </c>
      <c r="F579" t="s">
        <v>1125</v>
      </c>
    </row>
    <row r="580" spans="1:6" ht="16.5">
      <c r="A580" s="371" t="s">
        <v>763</v>
      </c>
      <c r="B580" s="250" t="str">
        <f>+VLOOKUP(A580,MATERIALES!$A$2:$I$245,2,0)</f>
        <v>Un</v>
      </c>
      <c r="C580" s="328">
        <v>1</v>
      </c>
      <c r="D580" s="252">
        <f>+VLOOKUP(A580,MATERIALES!$A$2:$I$245,9,0)</f>
        <v>18044</v>
      </c>
      <c r="E580" s="251">
        <f t="shared" si="15"/>
        <v>18044</v>
      </c>
    </row>
    <row r="581" spans="1:6" ht="16.5">
      <c r="A581" s="371" t="s">
        <v>744</v>
      </c>
      <c r="B581" s="250" t="str">
        <f>+VLOOKUP(A581,MATERIALES!$A$2:$I$245,2,0)</f>
        <v>Un</v>
      </c>
      <c r="C581" s="328">
        <v>4</v>
      </c>
      <c r="D581" s="252">
        <f>+VLOOKUP(A581,MATERIALES!$A$2:$I$245,9,0)</f>
        <v>2200</v>
      </c>
      <c r="E581" s="251">
        <f t="shared" si="15"/>
        <v>8800</v>
      </c>
    </row>
    <row r="582" spans="1:6" ht="16.5">
      <c r="A582" s="371" t="s">
        <v>745</v>
      </c>
      <c r="B582" s="250" t="str">
        <f>+VLOOKUP(A582,MATERIALES!$A$2:$I$245,2,0)</f>
        <v>Un</v>
      </c>
      <c r="C582" s="328">
        <v>3</v>
      </c>
      <c r="D582" s="252">
        <f>+VLOOKUP(A582,MATERIALES!$A$2:$I$245,9,0)</f>
        <v>2200</v>
      </c>
      <c r="E582" s="251">
        <f t="shared" si="15"/>
        <v>6600</v>
      </c>
    </row>
    <row r="583" spans="1:6" ht="16.5">
      <c r="A583" s="371" t="s">
        <v>746</v>
      </c>
      <c r="B583" s="250" t="str">
        <f>+VLOOKUP(A583,MATERIALES!$A$2:$I$245,2,0)</f>
        <v>Un</v>
      </c>
      <c r="C583" s="328">
        <v>3</v>
      </c>
      <c r="D583" s="252">
        <f>+VLOOKUP(A583,MATERIALES!$A$2:$I$245,9,0)</f>
        <v>550</v>
      </c>
      <c r="E583" s="251">
        <f t="shared" si="15"/>
        <v>1650</v>
      </c>
    </row>
    <row r="584" spans="1:6" ht="16.5">
      <c r="A584" s="371" t="s">
        <v>747</v>
      </c>
      <c r="B584" s="250" t="str">
        <f>+VLOOKUP(A584,MATERIALES!$A$2:$I$245,2,0)</f>
        <v>Un</v>
      </c>
      <c r="C584" s="328">
        <v>0</v>
      </c>
      <c r="D584" s="252">
        <f>+VLOOKUP(A584,MATERIALES!$A$2:$I$245,9,0)</f>
        <v>220000</v>
      </c>
      <c r="E584" s="251">
        <f t="shared" si="15"/>
        <v>0</v>
      </c>
      <c r="F584" t="s">
        <v>1125</v>
      </c>
    </row>
    <row r="585" spans="1:6" ht="16.5">
      <c r="A585" s="371" t="s">
        <v>694</v>
      </c>
      <c r="B585" s="250" t="str">
        <f>+VLOOKUP(A585,MATERIALES!$A$2:$I$245,2,0)</f>
        <v>Un</v>
      </c>
      <c r="C585" s="328">
        <v>1</v>
      </c>
      <c r="D585" s="252">
        <f>+VLOOKUP(A585,MATERIALES!$A$2:$I$245,9,0)</f>
        <v>9500</v>
      </c>
      <c r="E585" s="251">
        <f t="shared" si="15"/>
        <v>9500</v>
      </c>
    </row>
    <row r="586" spans="1:6" ht="16.5">
      <c r="A586" s="371" t="s">
        <v>748</v>
      </c>
      <c r="B586" s="250" t="str">
        <f>+VLOOKUP(A586,MATERIALES!$A$2:$I$245,2,0)</f>
        <v>Un</v>
      </c>
      <c r="C586" s="328">
        <v>0</v>
      </c>
      <c r="D586" s="252">
        <f>+VLOOKUP(A586,MATERIALES!$A$2:$I$245,9,0)</f>
        <v>8070</v>
      </c>
      <c r="E586" s="251">
        <f t="shared" si="15"/>
        <v>0</v>
      </c>
      <c r="F586" t="s">
        <v>1125</v>
      </c>
    </row>
    <row r="587" spans="1:6" ht="16.5">
      <c r="A587" s="371" t="s">
        <v>749</v>
      </c>
      <c r="B587" s="250" t="str">
        <f>+VLOOKUP(A587,MATERIALES!$A$2:$I$245,2,0)</f>
        <v>Un</v>
      </c>
      <c r="C587" s="328">
        <v>2</v>
      </c>
      <c r="D587" s="252">
        <f>+VLOOKUP(A587,MATERIALES!$A$2:$I$245,9,0)</f>
        <v>18781</v>
      </c>
      <c r="E587" s="251">
        <f t="shared" si="15"/>
        <v>37562</v>
      </c>
    </row>
    <row r="588" spans="1:6" ht="16.5">
      <c r="A588" s="371" t="s">
        <v>709</v>
      </c>
      <c r="B588" s="250" t="str">
        <f>+VLOOKUP(A588,MATERIALES!$A$2:$I$245,2,0)</f>
        <v>Un</v>
      </c>
      <c r="C588" s="328">
        <v>0</v>
      </c>
      <c r="D588" s="252">
        <f>+VLOOKUP(A588,MATERIALES!$A$2:$I$245,9,0)</f>
        <v>482191</v>
      </c>
      <c r="E588" s="251">
        <f t="shared" si="15"/>
        <v>0</v>
      </c>
      <c r="F588" t="s">
        <v>1123</v>
      </c>
    </row>
    <row r="589" spans="1:6" ht="16.5">
      <c r="A589" s="371" t="s">
        <v>750</v>
      </c>
      <c r="B589" s="250" t="str">
        <f>+VLOOKUP(A589,MATERIALES!$A$2:$I$245,2,0)</f>
        <v>Un</v>
      </c>
      <c r="C589" s="328">
        <v>0</v>
      </c>
      <c r="D589" s="252">
        <f>+VLOOKUP(A589,MATERIALES!$A$2:$I$245,9,0)</f>
        <v>16151</v>
      </c>
      <c r="E589" s="251">
        <f t="shared" si="15"/>
        <v>0</v>
      </c>
      <c r="F589" t="s">
        <v>1125</v>
      </c>
    </row>
    <row r="590" spans="1:6" ht="16.5">
      <c r="A590" s="371" t="s">
        <v>751</v>
      </c>
      <c r="B590" s="250" t="str">
        <f>+VLOOKUP(A590,MATERIALES!$A$2:$I$245,2,0)</f>
        <v>Un</v>
      </c>
      <c r="C590" s="328">
        <v>2</v>
      </c>
      <c r="D590" s="252">
        <f>+VLOOKUP(A590,MATERIALES!$A$2:$I$245,9,0)</f>
        <v>7762</v>
      </c>
      <c r="E590" s="251">
        <f t="shared" si="15"/>
        <v>15524</v>
      </c>
    </row>
    <row r="591" spans="1:6" ht="16.5">
      <c r="A591" s="371" t="s">
        <v>752</v>
      </c>
      <c r="B591" s="250" t="str">
        <f>+VLOOKUP(A591,MATERIALES!$A$2:$I$245,2,0)</f>
        <v>Un</v>
      </c>
      <c r="C591" s="328">
        <v>4</v>
      </c>
      <c r="D591" s="252">
        <f>+VLOOKUP(A591,MATERIALES!$A$2:$I$245,9,0)</f>
        <v>8549</v>
      </c>
      <c r="E591" s="251">
        <f t="shared" si="15"/>
        <v>34196</v>
      </c>
    </row>
    <row r="592" spans="1:6" ht="16.5">
      <c r="A592" s="371" t="s">
        <v>764</v>
      </c>
      <c r="B592" s="250" t="str">
        <f>+VLOOKUP(A592,MATERIALES!$A$2:$I$245,2,0)</f>
        <v>Un</v>
      </c>
      <c r="C592" s="328">
        <v>1</v>
      </c>
      <c r="D592" s="252">
        <f>+VLOOKUP(A592,MATERIALES!$A$2:$I$245,9,0)</f>
        <v>8549</v>
      </c>
      <c r="E592" s="251">
        <f>+C592*D592</f>
        <v>8549</v>
      </c>
    </row>
    <row r="593" spans="1:6" ht="16.5">
      <c r="A593" s="371" t="s">
        <v>699</v>
      </c>
      <c r="B593" s="250" t="str">
        <f>+VLOOKUP(A593,MATERIALES!$A$2:$I$245,2,0)</f>
        <v>Un</v>
      </c>
      <c r="C593" s="328">
        <v>1</v>
      </c>
      <c r="D593" s="252">
        <f>+VLOOKUP(A593,MATERIALES!$A$2:$I$245,9,0)</f>
        <v>1600</v>
      </c>
      <c r="E593" s="251">
        <f t="shared" si="15"/>
        <v>1600</v>
      </c>
    </row>
    <row r="594" spans="1:6" ht="16.5">
      <c r="A594" s="371" t="s">
        <v>753</v>
      </c>
      <c r="B594" s="250" t="str">
        <f>+VLOOKUP(A594,MATERIALES!$A$2:$I$245,2,0)</f>
        <v>Un</v>
      </c>
      <c r="C594" s="328">
        <v>0</v>
      </c>
      <c r="D594" s="252">
        <f>+VLOOKUP(A594,MATERIALES!$A$2:$I$245,9,0)</f>
        <v>8750</v>
      </c>
      <c r="E594" s="251">
        <f t="shared" si="15"/>
        <v>0</v>
      </c>
      <c r="F594" t="s">
        <v>1125</v>
      </c>
    </row>
    <row r="595" spans="1:6" ht="16.5">
      <c r="A595" s="372" t="s">
        <v>765</v>
      </c>
      <c r="B595" s="250" t="str">
        <f>+VLOOKUP(A595,MATERIALES!$A$2:$I$245,2,0)</f>
        <v>Un</v>
      </c>
      <c r="C595" s="328">
        <v>4</v>
      </c>
      <c r="D595" s="252">
        <f>+VLOOKUP(A595,MATERIALES!$A$2:$I$245,9,0)</f>
        <v>2388</v>
      </c>
      <c r="E595" s="251">
        <f>+C595*D595</f>
        <v>9552</v>
      </c>
    </row>
    <row r="596" spans="1:6" ht="16.5">
      <c r="A596" s="371" t="s">
        <v>754</v>
      </c>
      <c r="B596" s="250" t="str">
        <f>+VLOOKUP(A596,MATERIALES!$A$2:$I$245,2,0)</f>
        <v>Un</v>
      </c>
      <c r="C596" s="328">
        <v>1</v>
      </c>
      <c r="D596" s="252">
        <f>+VLOOKUP(A596,MATERIALES!$A$2:$I$245,9,0)</f>
        <v>9760</v>
      </c>
      <c r="E596" s="251">
        <f t="shared" si="15"/>
        <v>9760</v>
      </c>
    </row>
    <row r="597" spans="1:6" ht="16.5">
      <c r="A597" s="299" t="s">
        <v>647</v>
      </c>
      <c r="B597" s="250" t="str">
        <f>+VLOOKUP(A597,MATERIALES!$A$2:$I$245,2,0)</f>
        <v>Hr</v>
      </c>
      <c r="C597" s="328">
        <v>0</v>
      </c>
      <c r="D597" s="252">
        <f>+VLOOKUP(A597,MATERIALES!$A$2:$I$245,9,0)</f>
        <v>101389</v>
      </c>
      <c r="E597" s="251">
        <f t="shared" si="15"/>
        <v>0</v>
      </c>
      <c r="F597" t="s">
        <v>1123</v>
      </c>
    </row>
    <row r="598" spans="1:6" ht="16.5">
      <c r="A598" s="896"/>
      <c r="B598" s="884"/>
      <c r="C598" s="884"/>
      <c r="D598" s="884"/>
      <c r="E598" s="885"/>
    </row>
    <row r="599" spans="1:6" ht="16.5">
      <c r="A599" s="880" t="s">
        <v>599</v>
      </c>
      <c r="B599" s="881"/>
      <c r="C599" s="881"/>
      <c r="D599" s="881"/>
      <c r="E599" s="251">
        <f>SUM(E576:E597)</f>
        <v>386898</v>
      </c>
    </row>
    <row r="600" spans="1:6" ht="16.5">
      <c r="A600" s="271" t="s">
        <v>600</v>
      </c>
      <c r="B600" s="271"/>
      <c r="C600" s="423">
        <v>0.5</v>
      </c>
      <c r="D600" s="271"/>
      <c r="E600" s="268">
        <f>+C600*E599*$K$3</f>
        <v>19344.900000000001</v>
      </c>
    </row>
    <row r="601" spans="1:6" ht="16.5">
      <c r="A601" s="289" t="s">
        <v>601</v>
      </c>
      <c r="B601" s="269" t="str">
        <f>+VLOOKUP(A601,MATERIALES!$A$2:$I$245,2,0)</f>
        <v>DIA</v>
      </c>
      <c r="C601" s="426">
        <v>0.8</v>
      </c>
      <c r="D601" s="270">
        <f>+VLOOKUP(A601,MATERIALES!$A$2:$I$245,9,0)</f>
        <v>126080</v>
      </c>
      <c r="E601" s="424">
        <f>+ROUND(C601*D601,0)</f>
        <v>100864</v>
      </c>
    </row>
    <row r="602" spans="1:6" ht="16.5">
      <c r="A602" s="882" t="s">
        <v>602</v>
      </c>
      <c r="B602" s="882"/>
      <c r="C602" s="882"/>
      <c r="D602" s="882"/>
      <c r="E602" s="263">
        <f>+ROUND(SUM(E599:E601),0)</f>
        <v>507107</v>
      </c>
    </row>
    <row r="603" spans="1:6" ht="16.5">
      <c r="A603" s="279"/>
      <c r="B603" s="279"/>
      <c r="C603" s="279"/>
      <c r="D603" s="279"/>
      <c r="E603" s="280"/>
    </row>
    <row r="604" spans="1:6" ht="16.5">
      <c r="A604" s="279"/>
      <c r="B604" s="279"/>
      <c r="C604" s="279"/>
      <c r="D604" s="279"/>
      <c r="E604" s="280"/>
    </row>
    <row r="605" spans="1:6" ht="15" thickBot="1"/>
    <row r="606" spans="1:6" ht="16.5">
      <c r="A606" s="886" t="s">
        <v>756</v>
      </c>
      <c r="B606" s="886"/>
      <c r="C606" s="887"/>
      <c r="D606" s="254" t="s">
        <v>592</v>
      </c>
      <c r="E606" s="255" t="s">
        <v>8</v>
      </c>
    </row>
    <row r="607" spans="1:6" ht="16.5">
      <c r="A607" s="888"/>
      <c r="B607" s="888"/>
      <c r="C607" s="889"/>
      <c r="D607" s="256" t="s">
        <v>593</v>
      </c>
      <c r="E607" s="257"/>
    </row>
    <row r="608" spans="1:6" ht="16.5">
      <c r="A608" s="323"/>
      <c r="B608" s="323"/>
      <c r="C608" s="323"/>
      <c r="D608" s="281"/>
      <c r="E608" s="283"/>
    </row>
    <row r="609" spans="1:6" ht="16.5">
      <c r="A609" s="293" t="s">
        <v>594</v>
      </c>
      <c r="B609" s="247" t="s">
        <v>595</v>
      </c>
      <c r="C609" s="247" t="s">
        <v>596</v>
      </c>
      <c r="D609" s="248" t="s">
        <v>597</v>
      </c>
      <c r="E609" s="249" t="s">
        <v>598</v>
      </c>
    </row>
    <row r="610" spans="1:6" ht="16.5">
      <c r="A610" s="486" t="s">
        <v>1107</v>
      </c>
      <c r="B610" s="250" t="str">
        <f>+VLOOKUP(A610,MATERIALES!$A$2:$I$245,2,0)</f>
        <v>ml</v>
      </c>
      <c r="C610" s="328">
        <v>1</v>
      </c>
      <c r="D610" s="252">
        <f>+VLOOKUP(A610,MATERIALES!$A$2:$I$245,9,0)</f>
        <v>85167</v>
      </c>
      <c r="E610" s="251">
        <f>+C610*D610</f>
        <v>85167</v>
      </c>
      <c r="F610" t="s">
        <v>1108</v>
      </c>
    </row>
    <row r="611" spans="1:6" ht="16.5">
      <c r="A611" s="299"/>
      <c r="B611" s="250"/>
      <c r="C611" s="328"/>
      <c r="D611" s="252"/>
      <c r="E611" s="251"/>
    </row>
    <row r="612" spans="1:6" ht="16.5">
      <c r="A612" s="343"/>
      <c r="B612" s="250"/>
      <c r="C612" s="328"/>
      <c r="D612" s="252"/>
      <c r="E612" s="251"/>
    </row>
    <row r="613" spans="1:6" ht="16.5">
      <c r="A613" s="340"/>
      <c r="B613" s="250"/>
      <c r="C613" s="328"/>
      <c r="D613" s="252"/>
      <c r="E613" s="251"/>
    </row>
    <row r="614" spans="1:6" ht="16.5">
      <c r="A614" s="883"/>
      <c r="B614" s="884"/>
      <c r="C614" s="884"/>
      <c r="D614" s="884"/>
      <c r="E614" s="885"/>
    </row>
    <row r="615" spans="1:6" ht="16.5">
      <c r="A615" s="880" t="s">
        <v>599</v>
      </c>
      <c r="B615" s="881"/>
      <c r="C615" s="881"/>
      <c r="D615" s="881"/>
      <c r="E615" s="251">
        <f>SUM(E610:E613)</f>
        <v>85167</v>
      </c>
    </row>
    <row r="616" spans="1:6" ht="16.5">
      <c r="A616" s="271" t="s">
        <v>600</v>
      </c>
      <c r="B616" s="271"/>
      <c r="C616" s="423">
        <v>0</v>
      </c>
      <c r="D616" s="271"/>
      <c r="E616" s="268">
        <f>+C616*E615*$K$3</f>
        <v>0</v>
      </c>
    </row>
    <row r="617" spans="1:6" ht="16.5">
      <c r="A617" s="289" t="s">
        <v>601</v>
      </c>
      <c r="B617" s="269" t="str">
        <f>+VLOOKUP(A617,MATERIALES!$A$2:$I$245,2,0)</f>
        <v>DIA</v>
      </c>
      <c r="C617" s="426">
        <v>0.68</v>
      </c>
      <c r="D617" s="270">
        <f>+VLOOKUP(A617,MATERIALES!$A$2:$I$245,9,0)</f>
        <v>126080</v>
      </c>
      <c r="E617" s="424">
        <f>+ROUND(C617*D617,0)</f>
        <v>85734</v>
      </c>
      <c r="F617" t="s">
        <v>1126</v>
      </c>
    </row>
    <row r="618" spans="1:6" ht="16.5">
      <c r="A618" s="882" t="s">
        <v>602</v>
      </c>
      <c r="B618" s="882"/>
      <c r="C618" s="882"/>
      <c r="D618" s="882"/>
      <c r="E618" s="263">
        <f>+ROUND(SUM(E615:E617),0)</f>
        <v>170901</v>
      </c>
    </row>
    <row r="619" spans="1:6" ht="16.5">
      <c r="A619" s="279"/>
      <c r="B619" s="279"/>
      <c r="C619" s="279"/>
      <c r="D619" s="279"/>
      <c r="E619" s="280"/>
    </row>
    <row r="620" spans="1:6" ht="15" thickBot="1"/>
    <row r="621" spans="1:6" ht="16.5">
      <c r="A621" s="886" t="s">
        <v>761</v>
      </c>
      <c r="B621" s="886"/>
      <c r="C621" s="887"/>
      <c r="D621" s="254" t="s">
        <v>592</v>
      </c>
      <c r="E621" s="255" t="s">
        <v>8</v>
      </c>
    </row>
    <row r="622" spans="1:6" ht="16.5">
      <c r="A622" s="888"/>
      <c r="B622" s="888"/>
      <c r="C622" s="889"/>
      <c r="D622" s="256" t="s">
        <v>593</v>
      </c>
      <c r="E622" s="257"/>
    </row>
    <row r="623" spans="1:6" ht="16.5">
      <c r="A623" s="323"/>
      <c r="B623" s="323"/>
      <c r="C623" s="323"/>
      <c r="D623" s="281"/>
      <c r="E623" s="283"/>
    </row>
    <row r="624" spans="1:6" ht="16.5">
      <c r="A624" s="293" t="s">
        <v>594</v>
      </c>
      <c r="B624" s="247" t="s">
        <v>595</v>
      </c>
      <c r="C624" s="247" t="s">
        <v>596</v>
      </c>
      <c r="D624" s="248" t="s">
        <v>597</v>
      </c>
      <c r="E624" s="249" t="s">
        <v>598</v>
      </c>
    </row>
    <row r="625" spans="1:5" ht="16.5">
      <c r="A625" s="486" t="s">
        <v>1107</v>
      </c>
      <c r="B625" s="250" t="str">
        <f>+VLOOKUP(A625,MATERIALES!$A$2:$I$245,2,0)</f>
        <v>ml</v>
      </c>
      <c r="C625" s="328">
        <v>1</v>
      </c>
      <c r="D625" s="252">
        <f>+VLOOKUP(A625,MATERIALES!$A$2:$I$245,9,0)</f>
        <v>85167</v>
      </c>
      <c r="E625" s="251">
        <f>+C625*D625</f>
        <v>85167</v>
      </c>
    </row>
    <row r="626" spans="1:5" ht="16.5">
      <c r="A626" s="299"/>
      <c r="B626" s="250"/>
      <c r="C626" s="328"/>
      <c r="D626" s="252"/>
      <c r="E626" s="251"/>
    </row>
    <row r="627" spans="1:5" ht="16.5">
      <c r="A627" s="343"/>
      <c r="B627" s="250"/>
      <c r="C627" s="328"/>
      <c r="D627" s="252"/>
      <c r="E627" s="251"/>
    </row>
    <row r="628" spans="1:5" ht="16.5">
      <c r="A628" s="340"/>
      <c r="B628" s="250"/>
      <c r="C628" s="328"/>
      <c r="D628" s="252"/>
      <c r="E628" s="251"/>
    </row>
    <row r="629" spans="1:5" ht="16.5">
      <c r="A629" s="883"/>
      <c r="B629" s="884"/>
      <c r="C629" s="884"/>
      <c r="D629" s="884"/>
      <c r="E629" s="885"/>
    </row>
    <row r="630" spans="1:5" ht="16.5">
      <c r="A630" s="880" t="s">
        <v>599</v>
      </c>
      <c r="B630" s="881"/>
      <c r="C630" s="881"/>
      <c r="D630" s="881"/>
      <c r="E630" s="251">
        <f>SUM(E625:E628)</f>
        <v>85167</v>
      </c>
    </row>
    <row r="631" spans="1:5" ht="16.5">
      <c r="A631" s="271" t="s">
        <v>600</v>
      </c>
      <c r="B631" s="271"/>
      <c r="C631" s="423">
        <v>0</v>
      </c>
      <c r="D631" s="271"/>
      <c r="E631" s="268">
        <f>+C631*E630*$K$3</f>
        <v>0</v>
      </c>
    </row>
    <row r="632" spans="1:5" ht="16.5">
      <c r="A632" s="289" t="s">
        <v>601</v>
      </c>
      <c r="B632" s="269" t="str">
        <f>+VLOOKUP(A632,MATERIALES!$A$2:$I$245,2,0)</f>
        <v>DIA</v>
      </c>
      <c r="C632" s="426">
        <v>0</v>
      </c>
      <c r="D632" s="270">
        <f>+VLOOKUP(A632,MATERIALES!$A$2:$I$245,9,0)</f>
        <v>126080</v>
      </c>
      <c r="E632" s="424">
        <f>+ROUND(C632*D632,0)</f>
        <v>0</v>
      </c>
    </row>
    <row r="633" spans="1:5" ht="16.5">
      <c r="A633" s="882" t="s">
        <v>602</v>
      </c>
      <c r="B633" s="882"/>
      <c r="C633" s="882"/>
      <c r="D633" s="882"/>
      <c r="E633" s="263">
        <f>+ROUND(SUM(E630:E632),0)</f>
        <v>85167</v>
      </c>
    </row>
    <row r="634" spans="1:5" ht="17.25" thickBot="1">
      <c r="A634" s="279"/>
      <c r="B634" s="279"/>
      <c r="C634" s="279"/>
      <c r="D634" s="279"/>
      <c r="E634" s="280"/>
    </row>
    <row r="635" spans="1:5" ht="16.5">
      <c r="A635" s="886" t="s">
        <v>1157</v>
      </c>
      <c r="B635" s="886"/>
      <c r="C635" s="887"/>
      <c r="D635" s="254" t="s">
        <v>592</v>
      </c>
      <c r="E635" s="255" t="s">
        <v>8</v>
      </c>
    </row>
    <row r="636" spans="1:5" ht="16.5">
      <c r="A636" s="888"/>
      <c r="B636" s="888"/>
      <c r="C636" s="889"/>
      <c r="D636" s="256" t="s">
        <v>593</v>
      </c>
      <c r="E636" s="257"/>
    </row>
    <row r="637" spans="1:5" ht="16.5">
      <c r="A637" s="489"/>
      <c r="B637" s="489"/>
      <c r="C637" s="489"/>
      <c r="D637" s="490"/>
      <c r="E637" s="491"/>
    </row>
    <row r="638" spans="1:5" ht="16.5">
      <c r="A638" s="293" t="s">
        <v>594</v>
      </c>
      <c r="B638" s="247" t="s">
        <v>595</v>
      </c>
      <c r="C638" s="247" t="s">
        <v>596</v>
      </c>
      <c r="D638" s="248" t="s">
        <v>597</v>
      </c>
      <c r="E638" s="249" t="s">
        <v>598</v>
      </c>
    </row>
    <row r="639" spans="1:5" ht="16.5">
      <c r="A639" s="492" t="s">
        <v>1086</v>
      </c>
      <c r="B639" s="250" t="str">
        <f>+VLOOKUP(A639,MATERIALES!$A$2:$I$245,2,0)</f>
        <v>Un</v>
      </c>
      <c r="C639" s="328">
        <v>1</v>
      </c>
      <c r="D639" s="252">
        <f>+VLOOKUP(A639,MATERIALES!$A$2:$I$245,9,0)</f>
        <v>576412</v>
      </c>
      <c r="E639" s="251">
        <f>+C639*D639</f>
        <v>576412</v>
      </c>
    </row>
    <row r="640" spans="1:5" ht="16.5">
      <c r="A640" s="371" t="s">
        <v>740</v>
      </c>
      <c r="B640" s="250" t="str">
        <f>+VLOOKUP(A640,MATERIALES!$A$2:$I$245,2,0)</f>
        <v>Un</v>
      </c>
      <c r="C640" s="328">
        <v>1</v>
      </c>
      <c r="D640" s="252">
        <f>+VLOOKUP(A640,MATERIALES!$A$2:$I$245,9,0)</f>
        <v>54446</v>
      </c>
      <c r="E640" s="251">
        <f t="shared" ref="E640:E643" si="16">+C640*D640</f>
        <v>54446</v>
      </c>
    </row>
    <row r="641" spans="1:5" ht="16.5">
      <c r="A641" s="371" t="s">
        <v>742</v>
      </c>
      <c r="B641" s="250" t="str">
        <f>+VLOOKUP(A641,MATERIALES!$A$2:$I$245,2,0)</f>
        <v>Un</v>
      </c>
      <c r="C641" s="328">
        <v>1</v>
      </c>
      <c r="D641" s="252">
        <f>+VLOOKUP(A641,MATERIALES!$A$2:$I$245,9,0)</f>
        <v>16824</v>
      </c>
      <c r="E641" s="251">
        <f t="shared" si="16"/>
        <v>16824</v>
      </c>
    </row>
    <row r="642" spans="1:5" ht="16.5">
      <c r="A642" s="371" t="s">
        <v>748</v>
      </c>
      <c r="B642" s="250" t="str">
        <f>+VLOOKUP(A642,MATERIALES!$A$2:$I$245,2,0)</f>
        <v>Un</v>
      </c>
      <c r="C642" s="328">
        <v>4</v>
      </c>
      <c r="D642" s="252">
        <f>+VLOOKUP(A642,MATERIALES!$A$2:$I$245,9,0)</f>
        <v>8070</v>
      </c>
      <c r="E642" s="251">
        <f t="shared" si="16"/>
        <v>32280</v>
      </c>
    </row>
    <row r="643" spans="1:5" ht="16.5">
      <c r="A643" s="371" t="s">
        <v>753</v>
      </c>
      <c r="B643" s="250" t="str">
        <f>+VLOOKUP(A643,MATERIALES!$A$2:$I$245,2,0)</f>
        <v>Un</v>
      </c>
      <c r="C643" s="328">
        <v>1</v>
      </c>
      <c r="D643" s="252">
        <f>+VLOOKUP(A643,MATERIALES!$A$2:$I$245,9,0)</f>
        <v>8750</v>
      </c>
      <c r="E643" s="251">
        <f t="shared" si="16"/>
        <v>8750</v>
      </c>
    </row>
    <row r="644" spans="1:5" ht="16.5">
      <c r="A644" s="441"/>
      <c r="B644" s="661"/>
      <c r="C644" s="662"/>
      <c r="D644" s="663"/>
      <c r="E644" s="251"/>
    </row>
    <row r="645" spans="1:5" ht="16.5">
      <c r="A645" s="343"/>
      <c r="B645" s="250"/>
      <c r="C645" s="328"/>
      <c r="D645" s="252"/>
      <c r="E645" s="251"/>
    </row>
    <row r="646" spans="1:5" ht="16.5">
      <c r="A646" s="340"/>
      <c r="B646" s="250"/>
      <c r="C646" s="328"/>
      <c r="D646" s="252"/>
      <c r="E646" s="251"/>
    </row>
    <row r="647" spans="1:5" ht="16.5">
      <c r="A647" s="883"/>
      <c r="B647" s="884"/>
      <c r="C647" s="884"/>
      <c r="D647" s="884"/>
      <c r="E647" s="885"/>
    </row>
    <row r="648" spans="1:5" ht="16.5">
      <c r="A648" s="880" t="s">
        <v>599</v>
      </c>
      <c r="B648" s="881"/>
      <c r="C648" s="881"/>
      <c r="D648" s="881"/>
      <c r="E648" s="251">
        <f>SUM(E639:E646)</f>
        <v>688712</v>
      </c>
    </row>
    <row r="649" spans="1:5" ht="16.5">
      <c r="A649" s="271" t="s">
        <v>600</v>
      </c>
      <c r="B649" s="271"/>
      <c r="C649" s="423">
        <v>0.3</v>
      </c>
      <c r="D649" s="271"/>
      <c r="E649" s="268">
        <f>+C649*E648*$K$3</f>
        <v>20661.36</v>
      </c>
    </row>
    <row r="650" spans="1:5" ht="16.5">
      <c r="A650" s="289" t="s">
        <v>601</v>
      </c>
      <c r="B650" s="269" t="str">
        <f>+VLOOKUP(A650,MATERIALES!$A$2:$I$245,2,0)</f>
        <v>DIA</v>
      </c>
      <c r="C650" s="426">
        <v>0.68</v>
      </c>
      <c r="D650" s="270">
        <f>+VLOOKUP(A650,MATERIALES!$A$2:$I$245,9,0)</f>
        <v>126080</v>
      </c>
      <c r="E650" s="424">
        <f>+ROUND(C650*D650,0)</f>
        <v>85734</v>
      </c>
    </row>
    <row r="651" spans="1:5" ht="16.5">
      <c r="A651" s="882" t="s">
        <v>602</v>
      </c>
      <c r="B651" s="882"/>
      <c r="C651" s="882"/>
      <c r="D651" s="882"/>
      <c r="E651" s="263">
        <f>+ROUND(SUM(E648:E650),0)</f>
        <v>795107</v>
      </c>
    </row>
    <row r="652" spans="1:5" ht="16.5">
      <c r="A652" s="279"/>
      <c r="B652" s="279"/>
      <c r="C652" s="279"/>
      <c r="D652" s="279"/>
      <c r="E652" s="280"/>
    </row>
    <row r="653" spans="1:5" ht="15" thickBot="1"/>
    <row r="654" spans="1:5" ht="16.5">
      <c r="A654" s="886" t="s">
        <v>729</v>
      </c>
      <c r="B654" s="886"/>
      <c r="C654" s="887"/>
      <c r="D654" s="254" t="s">
        <v>592</v>
      </c>
      <c r="E654" s="255" t="s">
        <v>8</v>
      </c>
    </row>
    <row r="655" spans="1:5" ht="16.5">
      <c r="A655" s="888"/>
      <c r="B655" s="888"/>
      <c r="C655" s="889"/>
      <c r="D655" s="256" t="s">
        <v>593</v>
      </c>
      <c r="E655" s="257"/>
    </row>
    <row r="656" spans="1:5" ht="16.5">
      <c r="A656" s="323"/>
      <c r="B656" s="323"/>
      <c r="C656" s="323"/>
      <c r="D656" s="281"/>
      <c r="E656" s="283"/>
    </row>
    <row r="657" spans="1:6" ht="16.5">
      <c r="A657" s="293" t="s">
        <v>594</v>
      </c>
      <c r="B657" s="247" t="s">
        <v>595</v>
      </c>
      <c r="C657" s="247" t="s">
        <v>596</v>
      </c>
      <c r="D657" s="248" t="s">
        <v>597</v>
      </c>
      <c r="E657" s="249" t="s">
        <v>598</v>
      </c>
    </row>
    <row r="658" spans="1:6" ht="16.5">
      <c r="A658" s="299" t="s">
        <v>738</v>
      </c>
      <c r="B658" s="250" t="str">
        <f>+VLOOKUP(A658,MATERIALES!$A$2:$I$245,2,0)</f>
        <v>Un</v>
      </c>
      <c r="C658" s="328">
        <v>1</v>
      </c>
      <c r="D658" s="252">
        <f>+VLOOKUP(A658,MATERIALES!$A$2:$I$245,9,0)</f>
        <v>607900</v>
      </c>
      <c r="E658" s="251">
        <f>+C658*D658</f>
        <v>607900</v>
      </c>
    </row>
    <row r="659" spans="1:6" ht="16.5">
      <c r="A659" s="299" t="s">
        <v>647</v>
      </c>
      <c r="B659" s="250" t="str">
        <f>+VLOOKUP(A659,MATERIALES!$A$2:$I$245,2,0)</f>
        <v>Hr</v>
      </c>
      <c r="C659" s="328">
        <v>1</v>
      </c>
      <c r="D659" s="252">
        <f>+VLOOKUP(A659,MATERIALES!$A$2:$I$245,9,0)</f>
        <v>101389</v>
      </c>
      <c r="E659" s="251">
        <f>+C659*D659</f>
        <v>101389</v>
      </c>
    </row>
    <row r="660" spans="1:6" ht="16.5">
      <c r="A660" s="343"/>
      <c r="B660" s="250"/>
      <c r="C660" s="328"/>
      <c r="D660" s="252"/>
      <c r="E660" s="251"/>
    </row>
    <row r="661" spans="1:6" ht="16.5">
      <c r="A661" s="896"/>
      <c r="B661" s="897"/>
      <c r="C661" s="897"/>
      <c r="D661" s="897"/>
      <c r="E661" s="898"/>
    </row>
    <row r="662" spans="1:6" ht="16.5">
      <c r="A662" s="899" t="s">
        <v>599</v>
      </c>
      <c r="B662" s="900"/>
      <c r="C662" s="900"/>
      <c r="D662" s="901"/>
      <c r="E662" s="251">
        <f>SUM(E658:E660)</f>
        <v>709289</v>
      </c>
    </row>
    <row r="663" spans="1:6" ht="16.5">
      <c r="A663" s="271" t="s">
        <v>600</v>
      </c>
      <c r="B663" s="271"/>
      <c r="C663" s="423">
        <v>1</v>
      </c>
      <c r="D663" s="271"/>
      <c r="E663" s="268">
        <f>+C663*E662*$K$3</f>
        <v>70928.900000000009</v>
      </c>
      <c r="F663" t="s">
        <v>1109</v>
      </c>
    </row>
    <row r="664" spans="1:6" ht="16.5">
      <c r="A664" s="289" t="s">
        <v>601</v>
      </c>
      <c r="B664" s="269" t="str">
        <f>+VLOOKUP(A664,MATERIALES!$A$2:$I$245,2,0)</f>
        <v>DIA</v>
      </c>
      <c r="C664" s="426">
        <v>1</v>
      </c>
      <c r="D664" s="270">
        <f>+VLOOKUP(A664,MATERIALES!$A$2:$I$245,9,0)</f>
        <v>126080</v>
      </c>
      <c r="E664" s="424">
        <f>+ROUND(C664*D664,0)</f>
        <v>126080</v>
      </c>
      <c r="F664" t="s">
        <v>1110</v>
      </c>
    </row>
    <row r="665" spans="1:6" ht="16.5">
      <c r="A665" s="882" t="s">
        <v>602</v>
      </c>
      <c r="B665" s="882"/>
      <c r="C665" s="882"/>
      <c r="D665" s="882"/>
      <c r="E665" s="263">
        <f>+ROUND(SUM(E662:E664),0)</f>
        <v>906298</v>
      </c>
    </row>
    <row r="667" spans="1:6" ht="15" thickBot="1"/>
    <row r="668" spans="1:6" ht="16.5">
      <c r="A668" s="886" t="s">
        <v>758</v>
      </c>
      <c r="B668" s="886"/>
      <c r="C668" s="887"/>
      <c r="D668" s="254" t="s">
        <v>592</v>
      </c>
      <c r="E668" s="255" t="s">
        <v>8</v>
      </c>
    </row>
    <row r="669" spans="1:6" ht="16.5">
      <c r="A669" s="888"/>
      <c r="B669" s="888"/>
      <c r="C669" s="889"/>
      <c r="D669" s="256" t="s">
        <v>593</v>
      </c>
      <c r="E669" s="257"/>
    </row>
    <row r="670" spans="1:6" ht="16.5">
      <c r="A670" s="323"/>
      <c r="B670" s="323"/>
      <c r="C670" s="323"/>
      <c r="D670" s="281"/>
      <c r="E670" s="283"/>
    </row>
    <row r="671" spans="1:6" ht="16.5">
      <c r="A671" s="293" t="s">
        <v>594</v>
      </c>
      <c r="B671" s="247" t="s">
        <v>595</v>
      </c>
      <c r="C671" s="247" t="s">
        <v>596</v>
      </c>
      <c r="D671" s="248" t="s">
        <v>597</v>
      </c>
      <c r="E671" s="249" t="s">
        <v>598</v>
      </c>
    </row>
    <row r="672" spans="1:6" ht="16.5">
      <c r="A672" s="439" t="s">
        <v>759</v>
      </c>
      <c r="B672" s="250" t="str">
        <f>+VLOOKUP(A672,MATERIALES!$A$2:$I$245,2,0)</f>
        <v>Un</v>
      </c>
      <c r="C672" s="328">
        <v>1</v>
      </c>
      <c r="D672" s="252">
        <f>+VLOOKUP(A672,MATERIALES!$A$2:$I$245,9,0)</f>
        <v>18700</v>
      </c>
      <c r="E672" s="251">
        <f>+C672*D672</f>
        <v>18700</v>
      </c>
    </row>
    <row r="673" spans="1:5" ht="16.5">
      <c r="A673" s="299"/>
      <c r="B673" s="250"/>
      <c r="C673" s="328"/>
      <c r="D673" s="252"/>
      <c r="E673" s="251"/>
    </row>
    <row r="674" spans="1:5" ht="16.5">
      <c r="A674" s="883"/>
      <c r="B674" s="884"/>
      <c r="C674" s="884"/>
      <c r="D674" s="884"/>
      <c r="E674" s="885"/>
    </row>
    <row r="675" spans="1:5" ht="16.5">
      <c r="A675" s="880" t="s">
        <v>599</v>
      </c>
      <c r="B675" s="881"/>
      <c r="C675" s="881"/>
      <c r="D675" s="881"/>
      <c r="E675" s="251">
        <f>SUM(E672:E673)</f>
        <v>18700</v>
      </c>
    </row>
    <row r="676" spans="1:5" ht="16.5">
      <c r="A676" s="271" t="s">
        <v>600</v>
      </c>
      <c r="B676" s="271"/>
      <c r="C676" s="423">
        <v>1</v>
      </c>
      <c r="D676" s="271"/>
      <c r="E676" s="268">
        <f>+C676*E675*$K$3</f>
        <v>1870</v>
      </c>
    </row>
    <row r="677" spans="1:5" ht="16.5">
      <c r="A677" s="289" t="s">
        <v>601</v>
      </c>
      <c r="B677" s="269" t="str">
        <f>+VLOOKUP(A677,MATERIALES!$A$2:$I$245,2,0)</f>
        <v>DIA</v>
      </c>
      <c r="C677" s="426">
        <v>0.06</v>
      </c>
      <c r="D677" s="270">
        <f>+VLOOKUP(A677,MATERIALES!$A$2:$I$245,9,0)</f>
        <v>126080</v>
      </c>
      <c r="E677" s="424">
        <f>+ROUND(C677*D677,0)</f>
        <v>7565</v>
      </c>
    </row>
    <row r="678" spans="1:5" ht="16.5">
      <c r="A678" s="882" t="s">
        <v>602</v>
      </c>
      <c r="B678" s="882"/>
      <c r="C678" s="882"/>
      <c r="D678" s="882"/>
      <c r="E678" s="263">
        <f>+ROUND(SUM(E675:E677),0)</f>
        <v>28135</v>
      </c>
    </row>
    <row r="680" spans="1:5" ht="15" thickBot="1"/>
    <row r="681" spans="1:5" ht="16.5">
      <c r="A681" s="886" t="s">
        <v>767</v>
      </c>
      <c r="B681" s="886"/>
      <c r="C681" s="887"/>
      <c r="D681" s="254" t="s">
        <v>592</v>
      </c>
      <c r="E681" s="255" t="s">
        <v>8</v>
      </c>
    </row>
    <row r="682" spans="1:5" ht="16.5">
      <c r="A682" s="888"/>
      <c r="B682" s="888"/>
      <c r="C682" s="889"/>
      <c r="D682" s="256" t="s">
        <v>593</v>
      </c>
      <c r="E682" s="257"/>
    </row>
    <row r="683" spans="1:5" ht="16.5">
      <c r="A683" s="323"/>
      <c r="B683" s="323"/>
      <c r="C683" s="323"/>
      <c r="D683" s="281"/>
      <c r="E683" s="283"/>
    </row>
    <row r="684" spans="1:5" ht="16.5">
      <c r="A684" s="293" t="s">
        <v>594</v>
      </c>
      <c r="B684" s="247" t="s">
        <v>595</v>
      </c>
      <c r="C684" s="247" t="s">
        <v>596</v>
      </c>
      <c r="D684" s="248" t="s">
        <v>597</v>
      </c>
      <c r="E684" s="249" t="s">
        <v>598</v>
      </c>
    </row>
    <row r="685" spans="1:5" ht="16.5">
      <c r="A685" s="493" t="s">
        <v>827</v>
      </c>
      <c r="B685" s="250" t="str">
        <f>+VLOOKUP(A685,MATERIALES!$A$2:$I$245,2,0)</f>
        <v>Un</v>
      </c>
      <c r="C685" s="328">
        <v>1</v>
      </c>
      <c r="D685" s="252">
        <f>+VLOOKUP(A685,MATERIALES!$A$2:$I$245,9,0)</f>
        <v>244296</v>
      </c>
      <c r="E685" s="251">
        <f>+C685*D685</f>
        <v>244296</v>
      </c>
    </row>
    <row r="686" spans="1:5" ht="16.5">
      <c r="A686" s="343"/>
      <c r="B686" s="250"/>
      <c r="C686" s="328"/>
      <c r="D686" s="252"/>
      <c r="E686" s="251"/>
    </row>
    <row r="687" spans="1:5" ht="16.5">
      <c r="A687" s="883"/>
      <c r="B687" s="884"/>
      <c r="C687" s="884"/>
      <c r="D687" s="884"/>
      <c r="E687" s="885"/>
    </row>
    <row r="688" spans="1:5" ht="16.5">
      <c r="A688" s="880" t="s">
        <v>599</v>
      </c>
      <c r="B688" s="881"/>
      <c r="C688" s="881"/>
      <c r="D688" s="881"/>
      <c r="E688" s="251">
        <f>SUM(E685:E686)</f>
        <v>244296</v>
      </c>
    </row>
    <row r="689" spans="1:5" ht="16.5">
      <c r="A689" s="271" t="s">
        <v>600</v>
      </c>
      <c r="B689" s="271"/>
      <c r="C689" s="538">
        <v>0</v>
      </c>
      <c r="D689" s="271"/>
      <c r="E689" s="268">
        <f>+C689*E688*$K$3</f>
        <v>0</v>
      </c>
    </row>
    <row r="690" spans="1:5" ht="16.5">
      <c r="A690" s="289" t="s">
        <v>601</v>
      </c>
      <c r="B690" s="269" t="str">
        <f>+VLOOKUP(A690,MATERIALES!$A$2:$I$245,2,0)</f>
        <v>DIA</v>
      </c>
      <c r="C690" s="539">
        <v>0</v>
      </c>
      <c r="D690" s="270">
        <f>+VLOOKUP(A690,MATERIALES!$A$2:$I$245,9,0)</f>
        <v>126080</v>
      </c>
      <c r="E690" s="424">
        <f>+ROUND(C690*D690,0)</f>
        <v>0</v>
      </c>
    </row>
    <row r="691" spans="1:5" ht="16.5">
      <c r="A691" s="882" t="s">
        <v>602</v>
      </c>
      <c r="B691" s="882"/>
      <c r="C691" s="882"/>
      <c r="D691" s="882"/>
      <c r="E691" s="263">
        <f>+ROUND(SUM(E688:E690),0)</f>
        <v>244296</v>
      </c>
    </row>
    <row r="693" spans="1:5" ht="15" thickBot="1"/>
    <row r="694" spans="1:5" ht="16.5">
      <c r="A694" s="886" t="s">
        <v>834</v>
      </c>
      <c r="B694" s="886"/>
      <c r="C694" s="887"/>
      <c r="D694" s="254" t="s">
        <v>592</v>
      </c>
      <c r="E694" s="255" t="s">
        <v>8</v>
      </c>
    </row>
    <row r="695" spans="1:5" ht="16.5">
      <c r="A695" s="888"/>
      <c r="B695" s="888"/>
      <c r="C695" s="889"/>
      <c r="D695" s="256" t="s">
        <v>593</v>
      </c>
      <c r="E695" s="257"/>
    </row>
    <row r="696" spans="1:5" ht="16.5">
      <c r="A696" s="409"/>
      <c r="B696" s="409"/>
      <c r="C696" s="409"/>
      <c r="D696" s="281"/>
      <c r="E696" s="283"/>
    </row>
    <row r="697" spans="1:5" ht="16.5">
      <c r="A697" s="293" t="s">
        <v>594</v>
      </c>
      <c r="B697" s="247" t="s">
        <v>595</v>
      </c>
      <c r="C697" s="247" t="s">
        <v>596</v>
      </c>
      <c r="D697" s="248" t="s">
        <v>597</v>
      </c>
      <c r="E697" s="249" t="s">
        <v>598</v>
      </c>
    </row>
    <row r="698" spans="1:5" ht="58.5">
      <c r="A698" s="486" t="s">
        <v>966</v>
      </c>
      <c r="B698" s="250">
        <f>+VLOOKUP(A698,MATERIALES!$A$2:$I$245,2,0)</f>
        <v>0</v>
      </c>
      <c r="C698" s="328">
        <v>1</v>
      </c>
      <c r="D698" s="252">
        <f>+VLOOKUP(A698,MATERIALES!$A$2:$I$245,9,0)</f>
        <v>238570</v>
      </c>
      <c r="E698" s="251">
        <f>+C698*D698</f>
        <v>238570</v>
      </c>
    </row>
    <row r="699" spans="1:5" ht="16.5">
      <c r="A699" s="278"/>
      <c r="B699" s="250"/>
      <c r="C699" s="328"/>
      <c r="D699" s="252"/>
      <c r="E699" s="251"/>
    </row>
    <row r="700" spans="1:5" ht="16.5">
      <c r="A700" s="883"/>
      <c r="B700" s="884"/>
      <c r="C700" s="884"/>
      <c r="D700" s="884"/>
      <c r="E700" s="885"/>
    </row>
    <row r="701" spans="1:5" ht="16.5">
      <c r="A701" s="880" t="s">
        <v>599</v>
      </c>
      <c r="B701" s="881"/>
      <c r="C701" s="881"/>
      <c r="D701" s="881"/>
      <c r="E701" s="251">
        <f>SUM(E698:E699)</f>
        <v>238570</v>
      </c>
    </row>
    <row r="702" spans="1:5" ht="16.5">
      <c r="A702" s="271" t="s">
        <v>600</v>
      </c>
      <c r="B702" s="271"/>
      <c r="C702" s="538">
        <v>0</v>
      </c>
      <c r="D702" s="271"/>
      <c r="E702" s="268">
        <f>+C702*E701*$K$3</f>
        <v>0</v>
      </c>
    </row>
    <row r="703" spans="1:5" ht="16.5">
      <c r="A703" s="289" t="s">
        <v>601</v>
      </c>
      <c r="B703" s="269" t="str">
        <f>+VLOOKUP(A703,MATERIALES!$A$2:$I$245,2,0)</f>
        <v>DIA</v>
      </c>
      <c r="C703" s="539">
        <v>0</v>
      </c>
      <c r="D703" s="270">
        <f>+VLOOKUP(A703,MATERIALES!$A$2:$I$245,9,0)</f>
        <v>126080</v>
      </c>
      <c r="E703" s="424">
        <f>+ROUND(C703*D703,0)</f>
        <v>0</v>
      </c>
    </row>
    <row r="704" spans="1:5" ht="16.5">
      <c r="A704" s="882" t="s">
        <v>602</v>
      </c>
      <c r="B704" s="882"/>
      <c r="C704" s="882"/>
      <c r="D704" s="882"/>
      <c r="E704" s="263">
        <f>+ROUND(SUM(E701:E703),0)</f>
        <v>238570</v>
      </c>
    </row>
    <row r="706" spans="1:5" ht="15" thickBot="1"/>
    <row r="707" spans="1:5" ht="16.5">
      <c r="A707" s="886" t="s">
        <v>1160</v>
      </c>
      <c r="B707" s="886"/>
      <c r="C707" s="887"/>
      <c r="D707" s="254" t="s">
        <v>592</v>
      </c>
      <c r="E707" s="255" t="s">
        <v>8</v>
      </c>
    </row>
    <row r="708" spans="1:5" ht="45" customHeight="1">
      <c r="A708" s="888"/>
      <c r="B708" s="888"/>
      <c r="C708" s="889"/>
      <c r="D708" s="256" t="s">
        <v>593</v>
      </c>
      <c r="E708" s="257"/>
    </row>
    <row r="709" spans="1:5" ht="16.5">
      <c r="A709" s="632"/>
      <c r="B709" s="632"/>
      <c r="C709" s="632"/>
      <c r="D709" s="281"/>
      <c r="E709" s="283"/>
    </row>
    <row r="710" spans="1:5" ht="16.5">
      <c r="A710" s="293" t="s">
        <v>594</v>
      </c>
      <c r="B710" s="247" t="s">
        <v>595</v>
      </c>
      <c r="C710" s="247" t="s">
        <v>596</v>
      </c>
      <c r="D710" s="248" t="s">
        <v>597</v>
      </c>
      <c r="E710" s="249" t="s">
        <v>598</v>
      </c>
    </row>
    <row r="711" spans="1:5" ht="16.5">
      <c r="A711" s="486" t="s">
        <v>1158</v>
      </c>
      <c r="B711" s="250" t="str">
        <f>+VLOOKUP(A711,MATERIALES!$A$2:$I$245,2,0)</f>
        <v>ml</v>
      </c>
      <c r="C711" s="328">
        <v>1</v>
      </c>
      <c r="D711" s="252">
        <f>+VLOOKUP(A711,MATERIALES!$A$2:$I$245,9,0)</f>
        <v>23800</v>
      </c>
      <c r="E711" s="251">
        <f>+C711*D711</f>
        <v>23800</v>
      </c>
    </row>
    <row r="712" spans="1:5" ht="16.5">
      <c r="A712" s="278"/>
      <c r="B712" s="250"/>
      <c r="C712" s="328"/>
      <c r="D712" s="252"/>
      <c r="E712" s="251"/>
    </row>
    <row r="713" spans="1:5" ht="16.5">
      <c r="A713" s="883"/>
      <c r="B713" s="884"/>
      <c r="C713" s="884"/>
      <c r="D713" s="884"/>
      <c r="E713" s="885"/>
    </row>
    <row r="714" spans="1:5" ht="16.5">
      <c r="A714" s="880" t="s">
        <v>599</v>
      </c>
      <c r="B714" s="881"/>
      <c r="C714" s="881"/>
      <c r="D714" s="881"/>
      <c r="E714" s="251">
        <f>SUM(E711:E712)</f>
        <v>23800</v>
      </c>
    </row>
    <row r="715" spans="1:5" ht="16.5">
      <c r="A715" s="271" t="s">
        <v>600</v>
      </c>
      <c r="B715" s="271"/>
      <c r="C715" s="538">
        <v>0</v>
      </c>
      <c r="D715" s="271"/>
      <c r="E715" s="268">
        <f>+C715*E714*$K$3</f>
        <v>0</v>
      </c>
    </row>
    <row r="716" spans="1:5" ht="16.5">
      <c r="A716" s="289" t="s">
        <v>601</v>
      </c>
      <c r="B716" s="269" t="str">
        <f>+VLOOKUP(A716,MATERIALES!$A$2:$I$245,2,0)</f>
        <v>DIA</v>
      </c>
      <c r="C716" s="539">
        <v>0</v>
      </c>
      <c r="D716" s="270">
        <f>+VLOOKUP(A716,MATERIALES!$A$2:$I$245,9,0)</f>
        <v>126080</v>
      </c>
      <c r="E716" s="424">
        <f>+ROUND(C716*D716,0)</f>
        <v>0</v>
      </c>
    </row>
    <row r="717" spans="1:5" ht="16.5">
      <c r="A717" s="882" t="s">
        <v>602</v>
      </c>
      <c r="B717" s="882"/>
      <c r="C717" s="882"/>
      <c r="D717" s="882"/>
      <c r="E717" s="263">
        <f>+ROUND(SUM(E714:E716),0)</f>
        <v>23800</v>
      </c>
    </row>
  </sheetData>
  <mergeCells count="164">
    <mergeCell ref="A713:E713"/>
    <mergeCell ref="A714:D714"/>
    <mergeCell ref="A717:D717"/>
    <mergeCell ref="A681:C682"/>
    <mergeCell ref="A687:E687"/>
    <mergeCell ref="A688:D688"/>
    <mergeCell ref="A691:D691"/>
    <mergeCell ref="A668:C669"/>
    <mergeCell ref="A674:E674"/>
    <mergeCell ref="A675:D675"/>
    <mergeCell ref="A678:D678"/>
    <mergeCell ref="A694:C695"/>
    <mergeCell ref="A700:E700"/>
    <mergeCell ref="A701:D701"/>
    <mergeCell ref="A704:D704"/>
    <mergeCell ref="A630:D630"/>
    <mergeCell ref="A633:D633"/>
    <mergeCell ref="A635:C636"/>
    <mergeCell ref="A647:E647"/>
    <mergeCell ref="A648:D648"/>
    <mergeCell ref="A651:D651"/>
    <mergeCell ref="A662:D662"/>
    <mergeCell ref="A707:C708"/>
    <mergeCell ref="A665:D665"/>
    <mergeCell ref="A536:E536"/>
    <mergeCell ref="A537:D537"/>
    <mergeCell ref="A540:D540"/>
    <mergeCell ref="A654:C655"/>
    <mergeCell ref="A661:E661"/>
    <mergeCell ref="A499:C500"/>
    <mergeCell ref="A505:E505"/>
    <mergeCell ref="A506:D506"/>
    <mergeCell ref="A509:D509"/>
    <mergeCell ref="A512:C513"/>
    <mergeCell ref="A542:C543"/>
    <mergeCell ref="A566:E566"/>
    <mergeCell ref="A567:D567"/>
    <mergeCell ref="A570:D570"/>
    <mergeCell ref="A606:C607"/>
    <mergeCell ref="A614:E614"/>
    <mergeCell ref="A615:D615"/>
    <mergeCell ref="A618:D618"/>
    <mergeCell ref="A572:C573"/>
    <mergeCell ref="A598:E598"/>
    <mergeCell ref="A599:D599"/>
    <mergeCell ref="A602:D602"/>
    <mergeCell ref="A621:C622"/>
    <mergeCell ref="A629:E629"/>
    <mergeCell ref="A486:C487"/>
    <mergeCell ref="A492:E492"/>
    <mergeCell ref="A493:D493"/>
    <mergeCell ref="A496:D496"/>
    <mergeCell ref="A465:D465"/>
    <mergeCell ref="A468:D468"/>
    <mergeCell ref="A471:C472"/>
    <mergeCell ref="A478:E478"/>
    <mergeCell ref="A479:D479"/>
    <mergeCell ref="A455:D455"/>
    <mergeCell ref="A458:C459"/>
    <mergeCell ref="A464:E464"/>
    <mergeCell ref="A415:C416"/>
    <mergeCell ref="A430:E430"/>
    <mergeCell ref="A431:D431"/>
    <mergeCell ref="A434:D434"/>
    <mergeCell ref="A437:C438"/>
    <mergeCell ref="A482:D482"/>
    <mergeCell ref="A395:C396"/>
    <mergeCell ref="A408:E408"/>
    <mergeCell ref="A409:D409"/>
    <mergeCell ref="A412:D412"/>
    <mergeCell ref="A375:C376"/>
    <mergeCell ref="A388:E388"/>
    <mergeCell ref="A389:D389"/>
    <mergeCell ref="A451:E451"/>
    <mergeCell ref="A452:D452"/>
    <mergeCell ref="A392:D392"/>
    <mergeCell ref="A356:C357"/>
    <mergeCell ref="A368:E368"/>
    <mergeCell ref="A369:D369"/>
    <mergeCell ref="A372:D372"/>
    <mergeCell ref="A336:E336"/>
    <mergeCell ref="A337:D337"/>
    <mergeCell ref="A340:D340"/>
    <mergeCell ref="A304:D304"/>
    <mergeCell ref="A307:C308"/>
    <mergeCell ref="A323:E323"/>
    <mergeCell ref="A324:D324"/>
    <mergeCell ref="A327:D327"/>
    <mergeCell ref="A353:D353"/>
    <mergeCell ref="A293:C294"/>
    <mergeCell ref="A300:E300"/>
    <mergeCell ref="A301:D301"/>
    <mergeCell ref="A272:E272"/>
    <mergeCell ref="A273:D273"/>
    <mergeCell ref="A276:D276"/>
    <mergeCell ref="A279:C280"/>
    <mergeCell ref="A286:E286"/>
    <mergeCell ref="A330:C331"/>
    <mergeCell ref="A287:D287"/>
    <mergeCell ref="A290:D290"/>
    <mergeCell ref="A266:C267"/>
    <mergeCell ref="A204:E204"/>
    <mergeCell ref="A205:D205"/>
    <mergeCell ref="A232:D232"/>
    <mergeCell ref="A235:D235"/>
    <mergeCell ref="A238:C239"/>
    <mergeCell ref="A244:E244"/>
    <mergeCell ref="A245:D245"/>
    <mergeCell ref="A248:D248"/>
    <mergeCell ref="A231:E231"/>
    <mergeCell ref="A221:D221"/>
    <mergeCell ref="A224:C225"/>
    <mergeCell ref="A217:E217"/>
    <mergeCell ref="A218:D218"/>
    <mergeCell ref="A208:D208"/>
    <mergeCell ref="A211:C212"/>
    <mergeCell ref="A252:C253"/>
    <mergeCell ref="A259:E259"/>
    <mergeCell ref="A134:D134"/>
    <mergeCell ref="A137:D137"/>
    <mergeCell ref="A140:C141"/>
    <mergeCell ref="A156:E156"/>
    <mergeCell ref="A157:D157"/>
    <mergeCell ref="A160:D160"/>
    <mergeCell ref="A163:C164"/>
    <mergeCell ref="A260:D260"/>
    <mergeCell ref="A263:D263"/>
    <mergeCell ref="A1:C2"/>
    <mergeCell ref="A39:C40"/>
    <mergeCell ref="A19:E19"/>
    <mergeCell ref="A20:D20"/>
    <mergeCell ref="A23:D23"/>
    <mergeCell ref="A52:D52"/>
    <mergeCell ref="A55:C56"/>
    <mergeCell ref="A48:E48"/>
    <mergeCell ref="A49:D49"/>
    <mergeCell ref="A26:C27"/>
    <mergeCell ref="A32:E32"/>
    <mergeCell ref="A33:D33"/>
    <mergeCell ref="A36:D36"/>
    <mergeCell ref="A70:D70"/>
    <mergeCell ref="A73:D73"/>
    <mergeCell ref="A69:E69"/>
    <mergeCell ref="A76:C77"/>
    <mergeCell ref="A343:C344"/>
    <mergeCell ref="A349:E349"/>
    <mergeCell ref="A350:D350"/>
    <mergeCell ref="A193:C194"/>
    <mergeCell ref="A186:E186"/>
    <mergeCell ref="A187:D187"/>
    <mergeCell ref="A190:D190"/>
    <mergeCell ref="A169:E169"/>
    <mergeCell ref="A96:C97"/>
    <mergeCell ref="A111:E111"/>
    <mergeCell ref="A112:D112"/>
    <mergeCell ref="A89:E89"/>
    <mergeCell ref="A90:D90"/>
    <mergeCell ref="A93:D93"/>
    <mergeCell ref="A115:D115"/>
    <mergeCell ref="A176:C177"/>
    <mergeCell ref="A170:D170"/>
    <mergeCell ref="A173:D173"/>
    <mergeCell ref="A118:C119"/>
    <mergeCell ref="A133:E133"/>
  </mergeCells>
  <pageMargins left="0.7" right="0.7" top="0.75" bottom="0.75" header="0.3" footer="0.3"/>
  <pageSetup orientation="portrait" horizontalDpi="360" verticalDpi="36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H22"/>
  <sheetViews>
    <sheetView topLeftCell="A4" zoomScale="140" zoomScaleNormal="140" workbookViewId="0">
      <selection activeCell="F17" sqref="F17"/>
    </sheetView>
  </sheetViews>
  <sheetFormatPr baseColWidth="10" defaultRowHeight="14.25"/>
  <cols>
    <col min="1" max="1" width="9.125" customWidth="1"/>
    <col min="2" max="2" width="50.375" customWidth="1"/>
    <col min="3" max="3" width="8.875" style="377" bestFit="1" customWidth="1"/>
    <col min="4" max="4" width="9" style="377" bestFit="1" customWidth="1"/>
    <col min="5" max="5" width="14.375" style="382" bestFit="1" customWidth="1"/>
    <col min="6" max="6" width="14.375" bestFit="1" customWidth="1"/>
    <col min="7" max="7" width="16" bestFit="1" customWidth="1"/>
    <col min="8" max="8" width="15" bestFit="1" customWidth="1"/>
  </cols>
  <sheetData>
    <row r="3" spans="2:7" ht="15">
      <c r="B3" s="902" t="s">
        <v>1251</v>
      </c>
      <c r="C3" s="902"/>
      <c r="D3" s="902"/>
      <c r="E3" s="902"/>
      <c r="F3" s="902"/>
    </row>
    <row r="4" spans="2:7" ht="15">
      <c r="B4" s="902"/>
      <c r="C4" s="902"/>
      <c r="D4" s="902"/>
      <c r="E4" s="902"/>
      <c r="F4" s="902"/>
    </row>
    <row r="5" spans="2:7" ht="15">
      <c r="B5" s="808" t="s">
        <v>605</v>
      </c>
      <c r="C5" s="809" t="s">
        <v>630</v>
      </c>
      <c r="D5" s="809" t="s">
        <v>771</v>
      </c>
      <c r="E5" s="810" t="s">
        <v>631</v>
      </c>
      <c r="F5" s="809" t="s">
        <v>773</v>
      </c>
    </row>
    <row r="6" spans="2:7" ht="15">
      <c r="B6" s="811" t="s">
        <v>1252</v>
      </c>
      <c r="C6" s="812"/>
      <c r="D6" s="812"/>
      <c r="E6" s="813"/>
      <c r="F6" s="657"/>
      <c r="G6" t="s">
        <v>1265</v>
      </c>
    </row>
    <row r="7" spans="2:7">
      <c r="B7" s="814" t="s">
        <v>1253</v>
      </c>
      <c r="C7" s="807" t="s">
        <v>1254</v>
      </c>
      <c r="D7" s="807">
        <v>0.2</v>
      </c>
      <c r="E7" s="815">
        <v>137500000</v>
      </c>
      <c r="F7" s="816">
        <f t="shared" ref="F7:F13" si="0">+D7*E7</f>
        <v>27500000</v>
      </c>
      <c r="G7">
        <f>+D7*1000</f>
        <v>200</v>
      </c>
    </row>
    <row r="8" spans="2:7" ht="28.5">
      <c r="B8" s="814" t="s">
        <v>1255</v>
      </c>
      <c r="C8" s="807" t="s">
        <v>1254</v>
      </c>
      <c r="D8" s="807">
        <v>0.2</v>
      </c>
      <c r="E8" s="815">
        <v>635412935</v>
      </c>
      <c r="F8" s="816">
        <f t="shared" si="0"/>
        <v>127082587</v>
      </c>
    </row>
    <row r="9" spans="2:7">
      <c r="B9" s="814" t="s">
        <v>1256</v>
      </c>
      <c r="C9" s="807" t="s">
        <v>8</v>
      </c>
      <c r="D9" s="807">
        <v>4</v>
      </c>
      <c r="E9" s="815">
        <v>243254904</v>
      </c>
      <c r="F9" s="816">
        <f t="shared" si="0"/>
        <v>973019616</v>
      </c>
    </row>
    <row r="10" spans="2:7" ht="15">
      <c r="B10" s="817" t="s">
        <v>1257</v>
      </c>
      <c r="C10" s="807"/>
      <c r="D10" s="807"/>
      <c r="E10" s="815"/>
      <c r="F10" s="657"/>
    </row>
    <row r="11" spans="2:7" ht="57">
      <c r="B11" s="814" t="s">
        <v>1258</v>
      </c>
      <c r="C11" s="818" t="s">
        <v>604</v>
      </c>
      <c r="D11" s="818">
        <v>1</v>
      </c>
      <c r="E11" s="819">
        <v>76891079</v>
      </c>
      <c r="F11" s="820">
        <f t="shared" si="0"/>
        <v>76891079</v>
      </c>
    </row>
    <row r="12" spans="2:7" ht="57">
      <c r="B12" s="814" t="s">
        <v>1259</v>
      </c>
      <c r="C12" s="818" t="s">
        <v>604</v>
      </c>
      <c r="D12" s="818">
        <v>1</v>
      </c>
      <c r="E12" s="819">
        <v>174568816</v>
      </c>
      <c r="F12" s="820">
        <f t="shared" si="0"/>
        <v>174568816</v>
      </c>
    </row>
    <row r="13" spans="2:7" ht="51" customHeight="1">
      <c r="B13" s="821" t="s">
        <v>1269</v>
      </c>
      <c r="C13" s="822" t="s">
        <v>604</v>
      </c>
      <c r="D13" s="822">
        <v>1</v>
      </c>
      <c r="E13" s="823">
        <f>15000000/0.0053</f>
        <v>2830188679.2452831</v>
      </c>
      <c r="F13" s="824">
        <f t="shared" si="0"/>
        <v>2830188679.2452831</v>
      </c>
    </row>
    <row r="14" spans="2:7" ht="15">
      <c r="B14" s="658"/>
      <c r="C14" s="825" t="s">
        <v>1260</v>
      </c>
      <c r="D14" s="809"/>
      <c r="E14" s="810"/>
      <c r="F14" s="826">
        <f>SUM(F7:F13)</f>
        <v>4209250777.2452831</v>
      </c>
    </row>
    <row r="15" spans="2:7" ht="15">
      <c r="B15" s="658"/>
      <c r="C15" s="825" t="s">
        <v>1261</v>
      </c>
      <c r="D15" s="827">
        <v>0.19</v>
      </c>
      <c r="E15" s="810"/>
      <c r="F15" s="826">
        <f>+ROUND(F14*D15,0)</f>
        <v>799757648</v>
      </c>
    </row>
    <row r="16" spans="2:7" ht="15">
      <c r="B16" s="658"/>
      <c r="C16" s="809"/>
      <c r="D16" s="809"/>
      <c r="E16" s="810"/>
      <c r="F16" s="808"/>
    </row>
    <row r="17" spans="2:8" ht="15">
      <c r="B17" s="658"/>
      <c r="C17" s="903" t="s">
        <v>1234</v>
      </c>
      <c r="D17" s="904"/>
      <c r="E17" s="810"/>
      <c r="F17" s="826">
        <f>SUM(F14:F15)</f>
        <v>5009008425.2452831</v>
      </c>
      <c r="G17" s="844">
        <f>+F17*0.0053</f>
        <v>26547744.6538</v>
      </c>
      <c r="H17" s="844">
        <f>+G17/22.5</f>
        <v>1179899.7623911111</v>
      </c>
    </row>
    <row r="20" spans="2:8" ht="15">
      <c r="B20" s="710" t="s">
        <v>1262</v>
      </c>
    </row>
    <row r="21" spans="2:8">
      <c r="B21" s="905" t="s">
        <v>1263</v>
      </c>
      <c r="C21" s="905"/>
      <c r="D21" s="905"/>
      <c r="E21" s="905"/>
      <c r="F21" s="905"/>
    </row>
    <row r="22" spans="2:8">
      <c r="B22" s="905" t="s">
        <v>1264</v>
      </c>
      <c r="C22" s="905"/>
      <c r="D22" s="905"/>
      <c r="E22" s="905"/>
      <c r="F22" s="905"/>
    </row>
  </sheetData>
  <mergeCells count="5">
    <mergeCell ref="B3:F3"/>
    <mergeCell ref="B4:F4"/>
    <mergeCell ref="C17:D17"/>
    <mergeCell ref="B21:F21"/>
    <mergeCell ref="B22:F2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L132"/>
  <sheetViews>
    <sheetView zoomScaleNormal="100" zoomScaleSheetLayoutView="100" workbookViewId="0">
      <pane ySplit="4" topLeftCell="A5" activePane="bottomLeft" state="frozen"/>
      <selection pane="bottomLeft" activeCell="I125" sqref="I125"/>
    </sheetView>
  </sheetViews>
  <sheetFormatPr baseColWidth="10" defaultRowHeight="14.25"/>
  <cols>
    <col min="1" max="1" width="55.5" style="243" customWidth="1"/>
    <col min="2" max="2" width="5.875" style="245" customWidth="1"/>
    <col min="3" max="3" width="5.5" style="243" bestFit="1" customWidth="1"/>
    <col min="4" max="4" width="10.75" style="453" bestFit="1" customWidth="1"/>
    <col min="5" max="5" width="8.875" style="244" bestFit="1" customWidth="1"/>
    <col min="6" max="6" width="11" style="455" bestFit="1" customWidth="1"/>
    <col min="7" max="7" width="4.5" style="242" customWidth="1"/>
    <col min="8" max="8" width="4.25" style="243" customWidth="1"/>
    <col min="9" max="9" width="12.375" style="243" bestFit="1" customWidth="1"/>
    <col min="10" max="10" width="26.375" style="460" customWidth="1"/>
    <col min="11" max="11" width="69.875" style="404" customWidth="1"/>
    <col min="12" max="12" width="5.125" style="404" customWidth="1"/>
    <col min="13" max="255" width="11" style="243"/>
    <col min="256" max="256" width="50.5" style="243" customWidth="1"/>
    <col min="257" max="257" width="5.875" style="243" customWidth="1"/>
    <col min="258" max="258" width="8.5" style="243" customWidth="1"/>
    <col min="259" max="259" width="12" style="243" customWidth="1"/>
    <col min="260" max="260" width="13" style="243" customWidth="1"/>
    <col min="261" max="261" width="12.75" style="243" customWidth="1"/>
    <col min="262" max="511" width="11" style="243"/>
    <col min="512" max="512" width="50.5" style="243" customWidth="1"/>
    <col min="513" max="513" width="5.875" style="243" customWidth="1"/>
    <col min="514" max="514" width="8.5" style="243" customWidth="1"/>
    <col min="515" max="515" width="12" style="243" customWidth="1"/>
    <col min="516" max="516" width="13" style="243" customWidth="1"/>
    <col min="517" max="517" width="12.75" style="243" customWidth="1"/>
    <col min="518" max="767" width="11" style="243"/>
    <col min="768" max="768" width="50.5" style="243" customWidth="1"/>
    <col min="769" max="769" width="5.875" style="243" customWidth="1"/>
    <col min="770" max="770" width="8.5" style="243" customWidth="1"/>
    <col min="771" max="771" width="12" style="243" customWidth="1"/>
    <col min="772" max="772" width="13" style="243" customWidth="1"/>
    <col min="773" max="773" width="12.75" style="243" customWidth="1"/>
    <col min="774" max="1023" width="11" style="243"/>
    <col min="1024" max="1024" width="50.5" style="243" customWidth="1"/>
    <col min="1025" max="1025" width="5.875" style="243" customWidth="1"/>
    <col min="1026" max="1026" width="8.5" style="243" customWidth="1"/>
    <col min="1027" max="1027" width="12" style="243" customWidth="1"/>
    <col min="1028" max="1028" width="13" style="243" customWidth="1"/>
    <col min="1029" max="1029" width="12.75" style="243" customWidth="1"/>
    <col min="1030" max="1279" width="11" style="243"/>
    <col min="1280" max="1280" width="50.5" style="243" customWidth="1"/>
    <col min="1281" max="1281" width="5.875" style="243" customWidth="1"/>
    <col min="1282" max="1282" width="8.5" style="243" customWidth="1"/>
    <col min="1283" max="1283" width="12" style="243" customWidth="1"/>
    <col min="1284" max="1284" width="13" style="243" customWidth="1"/>
    <col min="1285" max="1285" width="12.75" style="243" customWidth="1"/>
    <col min="1286" max="1535" width="11" style="243"/>
    <col min="1536" max="1536" width="50.5" style="243" customWidth="1"/>
    <col min="1537" max="1537" width="5.875" style="243" customWidth="1"/>
    <col min="1538" max="1538" width="8.5" style="243" customWidth="1"/>
    <col min="1539" max="1539" width="12" style="243" customWidth="1"/>
    <col min="1540" max="1540" width="13" style="243" customWidth="1"/>
    <col min="1541" max="1541" width="12.75" style="243" customWidth="1"/>
    <col min="1542" max="1791" width="11" style="243"/>
    <col min="1792" max="1792" width="50.5" style="243" customWidth="1"/>
    <col min="1793" max="1793" width="5.875" style="243" customWidth="1"/>
    <col min="1794" max="1794" width="8.5" style="243" customWidth="1"/>
    <col min="1795" max="1795" width="12" style="243" customWidth="1"/>
    <col min="1796" max="1796" width="13" style="243" customWidth="1"/>
    <col min="1797" max="1797" width="12.75" style="243" customWidth="1"/>
    <col min="1798" max="2047" width="11" style="243"/>
    <col min="2048" max="2048" width="50.5" style="243" customWidth="1"/>
    <col min="2049" max="2049" width="5.875" style="243" customWidth="1"/>
    <col min="2050" max="2050" width="8.5" style="243" customWidth="1"/>
    <col min="2051" max="2051" width="12" style="243" customWidth="1"/>
    <col min="2052" max="2052" width="13" style="243" customWidth="1"/>
    <col min="2053" max="2053" width="12.75" style="243" customWidth="1"/>
    <col min="2054" max="2303" width="11" style="243"/>
    <col min="2304" max="2304" width="50.5" style="243" customWidth="1"/>
    <col min="2305" max="2305" width="5.875" style="243" customWidth="1"/>
    <col min="2306" max="2306" width="8.5" style="243" customWidth="1"/>
    <col min="2307" max="2307" width="12" style="243" customWidth="1"/>
    <col min="2308" max="2308" width="13" style="243" customWidth="1"/>
    <col min="2309" max="2309" width="12.75" style="243" customWidth="1"/>
    <col min="2310" max="2559" width="11" style="243"/>
    <col min="2560" max="2560" width="50.5" style="243" customWidth="1"/>
    <col min="2561" max="2561" width="5.875" style="243" customWidth="1"/>
    <col min="2562" max="2562" width="8.5" style="243" customWidth="1"/>
    <col min="2563" max="2563" width="12" style="243" customWidth="1"/>
    <col min="2564" max="2564" width="13" style="243" customWidth="1"/>
    <col min="2565" max="2565" width="12.75" style="243" customWidth="1"/>
    <col min="2566" max="2815" width="11" style="243"/>
    <col min="2816" max="2816" width="50.5" style="243" customWidth="1"/>
    <col min="2817" max="2817" width="5.875" style="243" customWidth="1"/>
    <col min="2818" max="2818" width="8.5" style="243" customWidth="1"/>
    <col min="2819" max="2819" width="12" style="243" customWidth="1"/>
    <col min="2820" max="2820" width="13" style="243" customWidth="1"/>
    <col min="2821" max="2821" width="12.75" style="243" customWidth="1"/>
    <col min="2822" max="3071" width="11" style="243"/>
    <col min="3072" max="3072" width="50.5" style="243" customWidth="1"/>
    <col min="3073" max="3073" width="5.875" style="243" customWidth="1"/>
    <col min="3074" max="3074" width="8.5" style="243" customWidth="1"/>
    <col min="3075" max="3075" width="12" style="243" customWidth="1"/>
    <col min="3076" max="3076" width="13" style="243" customWidth="1"/>
    <col min="3077" max="3077" width="12.75" style="243" customWidth="1"/>
    <col min="3078" max="3327" width="11" style="243"/>
    <col min="3328" max="3328" width="50.5" style="243" customWidth="1"/>
    <col min="3329" max="3329" width="5.875" style="243" customWidth="1"/>
    <col min="3330" max="3330" width="8.5" style="243" customWidth="1"/>
    <col min="3331" max="3331" width="12" style="243" customWidth="1"/>
    <col min="3332" max="3332" width="13" style="243" customWidth="1"/>
    <col min="3333" max="3333" width="12.75" style="243" customWidth="1"/>
    <col min="3334" max="3583" width="11" style="243"/>
    <col min="3584" max="3584" width="50.5" style="243" customWidth="1"/>
    <col min="3585" max="3585" width="5.875" style="243" customWidth="1"/>
    <col min="3586" max="3586" width="8.5" style="243" customWidth="1"/>
    <col min="3587" max="3587" width="12" style="243" customWidth="1"/>
    <col min="3588" max="3588" width="13" style="243" customWidth="1"/>
    <col min="3589" max="3589" width="12.75" style="243" customWidth="1"/>
    <col min="3590" max="3839" width="11" style="243"/>
    <col min="3840" max="3840" width="50.5" style="243" customWidth="1"/>
    <col min="3841" max="3841" width="5.875" style="243" customWidth="1"/>
    <col min="3842" max="3842" width="8.5" style="243" customWidth="1"/>
    <col min="3843" max="3843" width="12" style="243" customWidth="1"/>
    <col min="3844" max="3844" width="13" style="243" customWidth="1"/>
    <col min="3845" max="3845" width="12.75" style="243" customWidth="1"/>
    <col min="3846" max="4095" width="11" style="243"/>
    <col min="4096" max="4096" width="50.5" style="243" customWidth="1"/>
    <col min="4097" max="4097" width="5.875" style="243" customWidth="1"/>
    <col min="4098" max="4098" width="8.5" style="243" customWidth="1"/>
    <col min="4099" max="4099" width="12" style="243" customWidth="1"/>
    <col min="4100" max="4100" width="13" style="243" customWidth="1"/>
    <col min="4101" max="4101" width="12.75" style="243" customWidth="1"/>
    <col min="4102" max="4351" width="11" style="243"/>
    <col min="4352" max="4352" width="50.5" style="243" customWidth="1"/>
    <col min="4353" max="4353" width="5.875" style="243" customWidth="1"/>
    <col min="4354" max="4354" width="8.5" style="243" customWidth="1"/>
    <col min="4355" max="4355" width="12" style="243" customWidth="1"/>
    <col min="4356" max="4356" width="13" style="243" customWidth="1"/>
    <col min="4357" max="4357" width="12.75" style="243" customWidth="1"/>
    <col min="4358" max="4607" width="11" style="243"/>
    <col min="4608" max="4608" width="50.5" style="243" customWidth="1"/>
    <col min="4609" max="4609" width="5.875" style="243" customWidth="1"/>
    <col min="4610" max="4610" width="8.5" style="243" customWidth="1"/>
    <col min="4611" max="4611" width="12" style="243" customWidth="1"/>
    <col min="4612" max="4612" width="13" style="243" customWidth="1"/>
    <col min="4613" max="4613" width="12.75" style="243" customWidth="1"/>
    <col min="4614" max="4863" width="11" style="243"/>
    <col min="4864" max="4864" width="50.5" style="243" customWidth="1"/>
    <col min="4865" max="4865" width="5.875" style="243" customWidth="1"/>
    <col min="4866" max="4866" width="8.5" style="243" customWidth="1"/>
    <col min="4867" max="4867" width="12" style="243" customWidth="1"/>
    <col min="4868" max="4868" width="13" style="243" customWidth="1"/>
    <col min="4869" max="4869" width="12.75" style="243" customWidth="1"/>
    <col min="4870" max="5119" width="11" style="243"/>
    <col min="5120" max="5120" width="50.5" style="243" customWidth="1"/>
    <col min="5121" max="5121" width="5.875" style="243" customWidth="1"/>
    <col min="5122" max="5122" width="8.5" style="243" customWidth="1"/>
    <col min="5123" max="5123" width="12" style="243" customWidth="1"/>
    <col min="5124" max="5124" width="13" style="243" customWidth="1"/>
    <col min="5125" max="5125" width="12.75" style="243" customWidth="1"/>
    <col min="5126" max="5375" width="11" style="243"/>
    <col min="5376" max="5376" width="50.5" style="243" customWidth="1"/>
    <col min="5377" max="5377" width="5.875" style="243" customWidth="1"/>
    <col min="5378" max="5378" width="8.5" style="243" customWidth="1"/>
    <col min="5379" max="5379" width="12" style="243" customWidth="1"/>
    <col min="5380" max="5380" width="13" style="243" customWidth="1"/>
    <col min="5381" max="5381" width="12.75" style="243" customWidth="1"/>
    <col min="5382" max="5631" width="11" style="243"/>
    <col min="5632" max="5632" width="50.5" style="243" customWidth="1"/>
    <col min="5633" max="5633" width="5.875" style="243" customWidth="1"/>
    <col min="5634" max="5634" width="8.5" style="243" customWidth="1"/>
    <col min="5635" max="5635" width="12" style="243" customWidth="1"/>
    <col min="5636" max="5636" width="13" style="243" customWidth="1"/>
    <col min="5637" max="5637" width="12.75" style="243" customWidth="1"/>
    <col min="5638" max="5887" width="11" style="243"/>
    <col min="5888" max="5888" width="50.5" style="243" customWidth="1"/>
    <col min="5889" max="5889" width="5.875" style="243" customWidth="1"/>
    <col min="5890" max="5890" width="8.5" style="243" customWidth="1"/>
    <col min="5891" max="5891" width="12" style="243" customWidth="1"/>
    <col min="5892" max="5892" width="13" style="243" customWidth="1"/>
    <col min="5893" max="5893" width="12.75" style="243" customWidth="1"/>
    <col min="5894" max="6143" width="11" style="243"/>
    <col min="6144" max="6144" width="50.5" style="243" customWidth="1"/>
    <col min="6145" max="6145" width="5.875" style="243" customWidth="1"/>
    <col min="6146" max="6146" width="8.5" style="243" customWidth="1"/>
    <col min="6147" max="6147" width="12" style="243" customWidth="1"/>
    <col min="6148" max="6148" width="13" style="243" customWidth="1"/>
    <col min="6149" max="6149" width="12.75" style="243" customWidth="1"/>
    <col min="6150" max="6399" width="11" style="243"/>
    <col min="6400" max="6400" width="50.5" style="243" customWidth="1"/>
    <col min="6401" max="6401" width="5.875" style="243" customWidth="1"/>
    <col min="6402" max="6402" width="8.5" style="243" customWidth="1"/>
    <col min="6403" max="6403" width="12" style="243" customWidth="1"/>
    <col min="6404" max="6404" width="13" style="243" customWidth="1"/>
    <col min="6405" max="6405" width="12.75" style="243" customWidth="1"/>
    <col min="6406" max="6655" width="11" style="243"/>
    <col min="6656" max="6656" width="50.5" style="243" customWidth="1"/>
    <col min="6657" max="6657" width="5.875" style="243" customWidth="1"/>
    <col min="6658" max="6658" width="8.5" style="243" customWidth="1"/>
    <col min="6659" max="6659" width="12" style="243" customWidth="1"/>
    <col min="6660" max="6660" width="13" style="243" customWidth="1"/>
    <col min="6661" max="6661" width="12.75" style="243" customWidth="1"/>
    <col min="6662" max="6911" width="11" style="243"/>
    <col min="6912" max="6912" width="50.5" style="243" customWidth="1"/>
    <col min="6913" max="6913" width="5.875" style="243" customWidth="1"/>
    <col min="6914" max="6914" width="8.5" style="243" customWidth="1"/>
    <col min="6915" max="6915" width="12" style="243" customWidth="1"/>
    <col min="6916" max="6916" width="13" style="243" customWidth="1"/>
    <col min="6917" max="6917" width="12.75" style="243" customWidth="1"/>
    <col min="6918" max="7167" width="11" style="243"/>
    <col min="7168" max="7168" width="50.5" style="243" customWidth="1"/>
    <col min="7169" max="7169" width="5.875" style="243" customWidth="1"/>
    <col min="7170" max="7170" width="8.5" style="243" customWidth="1"/>
    <col min="7171" max="7171" width="12" style="243" customWidth="1"/>
    <col min="7172" max="7172" width="13" style="243" customWidth="1"/>
    <col min="7173" max="7173" width="12.75" style="243" customWidth="1"/>
    <col min="7174" max="7423" width="11" style="243"/>
    <col min="7424" max="7424" width="50.5" style="243" customWidth="1"/>
    <col min="7425" max="7425" width="5.875" style="243" customWidth="1"/>
    <col min="7426" max="7426" width="8.5" style="243" customWidth="1"/>
    <col min="7427" max="7427" width="12" style="243" customWidth="1"/>
    <col min="7428" max="7428" width="13" style="243" customWidth="1"/>
    <col min="7429" max="7429" width="12.75" style="243" customWidth="1"/>
    <col min="7430" max="7679" width="11" style="243"/>
    <col min="7680" max="7680" width="50.5" style="243" customWidth="1"/>
    <col min="7681" max="7681" width="5.875" style="243" customWidth="1"/>
    <col min="7682" max="7682" width="8.5" style="243" customWidth="1"/>
    <col min="7683" max="7683" width="12" style="243" customWidth="1"/>
    <col min="7684" max="7684" width="13" style="243" customWidth="1"/>
    <col min="7685" max="7685" width="12.75" style="243" customWidth="1"/>
    <col min="7686" max="7935" width="11" style="243"/>
    <col min="7936" max="7936" width="50.5" style="243" customWidth="1"/>
    <col min="7937" max="7937" width="5.875" style="243" customWidth="1"/>
    <col min="7938" max="7938" width="8.5" style="243" customWidth="1"/>
    <col min="7939" max="7939" width="12" style="243" customWidth="1"/>
    <col min="7940" max="7940" width="13" style="243" customWidth="1"/>
    <col min="7941" max="7941" width="12.75" style="243" customWidth="1"/>
    <col min="7942" max="8191" width="11" style="243"/>
    <col min="8192" max="8192" width="50.5" style="243" customWidth="1"/>
    <col min="8193" max="8193" width="5.875" style="243" customWidth="1"/>
    <col min="8194" max="8194" width="8.5" style="243" customWidth="1"/>
    <col min="8195" max="8195" width="12" style="243" customWidth="1"/>
    <col min="8196" max="8196" width="13" style="243" customWidth="1"/>
    <col min="8197" max="8197" width="12.75" style="243" customWidth="1"/>
    <col min="8198" max="8447" width="11" style="243"/>
    <col min="8448" max="8448" width="50.5" style="243" customWidth="1"/>
    <col min="8449" max="8449" width="5.875" style="243" customWidth="1"/>
    <col min="8450" max="8450" width="8.5" style="243" customWidth="1"/>
    <col min="8451" max="8451" width="12" style="243" customWidth="1"/>
    <col min="8452" max="8452" width="13" style="243" customWidth="1"/>
    <col min="8453" max="8453" width="12.75" style="243" customWidth="1"/>
    <col min="8454" max="8703" width="11" style="243"/>
    <col min="8704" max="8704" width="50.5" style="243" customWidth="1"/>
    <col min="8705" max="8705" width="5.875" style="243" customWidth="1"/>
    <col min="8706" max="8706" width="8.5" style="243" customWidth="1"/>
    <col min="8707" max="8707" width="12" style="243" customWidth="1"/>
    <col min="8708" max="8708" width="13" style="243" customWidth="1"/>
    <col min="8709" max="8709" width="12.75" style="243" customWidth="1"/>
    <col min="8710" max="8959" width="11" style="243"/>
    <col min="8960" max="8960" width="50.5" style="243" customWidth="1"/>
    <col min="8961" max="8961" width="5.875" style="243" customWidth="1"/>
    <col min="8962" max="8962" width="8.5" style="243" customWidth="1"/>
    <col min="8963" max="8963" width="12" style="243" customWidth="1"/>
    <col min="8964" max="8964" width="13" style="243" customWidth="1"/>
    <col min="8965" max="8965" width="12.75" style="243" customWidth="1"/>
    <col min="8966" max="9215" width="11" style="243"/>
    <col min="9216" max="9216" width="50.5" style="243" customWidth="1"/>
    <col min="9217" max="9217" width="5.875" style="243" customWidth="1"/>
    <col min="9218" max="9218" width="8.5" style="243" customWidth="1"/>
    <col min="9219" max="9219" width="12" style="243" customWidth="1"/>
    <col min="9220" max="9220" width="13" style="243" customWidth="1"/>
    <col min="9221" max="9221" width="12.75" style="243" customWidth="1"/>
    <col min="9222" max="9471" width="11" style="243"/>
    <col min="9472" max="9472" width="50.5" style="243" customWidth="1"/>
    <col min="9473" max="9473" width="5.875" style="243" customWidth="1"/>
    <col min="9474" max="9474" width="8.5" style="243" customWidth="1"/>
    <col min="9475" max="9475" width="12" style="243" customWidth="1"/>
    <col min="9476" max="9476" width="13" style="243" customWidth="1"/>
    <col min="9477" max="9477" width="12.75" style="243" customWidth="1"/>
    <col min="9478" max="9727" width="11" style="243"/>
    <col min="9728" max="9728" width="50.5" style="243" customWidth="1"/>
    <col min="9729" max="9729" width="5.875" style="243" customWidth="1"/>
    <col min="9730" max="9730" width="8.5" style="243" customWidth="1"/>
    <col min="9731" max="9731" width="12" style="243" customWidth="1"/>
    <col min="9732" max="9732" width="13" style="243" customWidth="1"/>
    <col min="9733" max="9733" width="12.75" style="243" customWidth="1"/>
    <col min="9734" max="9983" width="11" style="243"/>
    <col min="9984" max="9984" width="50.5" style="243" customWidth="1"/>
    <col min="9985" max="9985" width="5.875" style="243" customWidth="1"/>
    <col min="9986" max="9986" width="8.5" style="243" customWidth="1"/>
    <col min="9987" max="9987" width="12" style="243" customWidth="1"/>
    <col min="9988" max="9988" width="13" style="243" customWidth="1"/>
    <col min="9989" max="9989" width="12.75" style="243" customWidth="1"/>
    <col min="9990" max="10239" width="11" style="243"/>
    <col min="10240" max="10240" width="50.5" style="243" customWidth="1"/>
    <col min="10241" max="10241" width="5.875" style="243" customWidth="1"/>
    <col min="10242" max="10242" width="8.5" style="243" customWidth="1"/>
    <col min="10243" max="10243" width="12" style="243" customWidth="1"/>
    <col min="10244" max="10244" width="13" style="243" customWidth="1"/>
    <col min="10245" max="10245" width="12.75" style="243" customWidth="1"/>
    <col min="10246" max="10495" width="11" style="243"/>
    <col min="10496" max="10496" width="50.5" style="243" customWidth="1"/>
    <col min="10497" max="10497" width="5.875" style="243" customWidth="1"/>
    <col min="10498" max="10498" width="8.5" style="243" customWidth="1"/>
    <col min="10499" max="10499" width="12" style="243" customWidth="1"/>
    <col min="10500" max="10500" width="13" style="243" customWidth="1"/>
    <col min="10501" max="10501" width="12.75" style="243" customWidth="1"/>
    <col min="10502" max="10751" width="11" style="243"/>
    <col min="10752" max="10752" width="50.5" style="243" customWidth="1"/>
    <col min="10753" max="10753" width="5.875" style="243" customWidth="1"/>
    <col min="10754" max="10754" width="8.5" style="243" customWidth="1"/>
    <col min="10755" max="10755" width="12" style="243" customWidth="1"/>
    <col min="10756" max="10756" width="13" style="243" customWidth="1"/>
    <col min="10757" max="10757" width="12.75" style="243" customWidth="1"/>
    <col min="10758" max="11007" width="11" style="243"/>
    <col min="11008" max="11008" width="50.5" style="243" customWidth="1"/>
    <col min="11009" max="11009" width="5.875" style="243" customWidth="1"/>
    <col min="11010" max="11010" width="8.5" style="243" customWidth="1"/>
    <col min="11011" max="11011" width="12" style="243" customWidth="1"/>
    <col min="11012" max="11012" width="13" style="243" customWidth="1"/>
    <col min="11013" max="11013" width="12.75" style="243" customWidth="1"/>
    <col min="11014" max="11263" width="11" style="243"/>
    <col min="11264" max="11264" width="50.5" style="243" customWidth="1"/>
    <col min="11265" max="11265" width="5.875" style="243" customWidth="1"/>
    <col min="11266" max="11266" width="8.5" style="243" customWidth="1"/>
    <col min="11267" max="11267" width="12" style="243" customWidth="1"/>
    <col min="11268" max="11268" width="13" style="243" customWidth="1"/>
    <col min="11269" max="11269" width="12.75" style="243" customWidth="1"/>
    <col min="11270" max="11519" width="11" style="243"/>
    <col min="11520" max="11520" width="50.5" style="243" customWidth="1"/>
    <col min="11521" max="11521" width="5.875" style="243" customWidth="1"/>
    <col min="11522" max="11522" width="8.5" style="243" customWidth="1"/>
    <col min="11523" max="11523" width="12" style="243" customWidth="1"/>
    <col min="11524" max="11524" width="13" style="243" customWidth="1"/>
    <col min="11525" max="11525" width="12.75" style="243" customWidth="1"/>
    <col min="11526" max="11775" width="11" style="243"/>
    <col min="11776" max="11776" width="50.5" style="243" customWidth="1"/>
    <col min="11777" max="11777" width="5.875" style="243" customWidth="1"/>
    <col min="11778" max="11778" width="8.5" style="243" customWidth="1"/>
    <col min="11779" max="11779" width="12" style="243" customWidth="1"/>
    <col min="11780" max="11780" width="13" style="243" customWidth="1"/>
    <col min="11781" max="11781" width="12.75" style="243" customWidth="1"/>
    <col min="11782" max="12031" width="11" style="243"/>
    <col min="12032" max="12032" width="50.5" style="243" customWidth="1"/>
    <col min="12033" max="12033" width="5.875" style="243" customWidth="1"/>
    <col min="12034" max="12034" width="8.5" style="243" customWidth="1"/>
    <col min="12035" max="12035" width="12" style="243" customWidth="1"/>
    <col min="12036" max="12036" width="13" style="243" customWidth="1"/>
    <col min="12037" max="12037" width="12.75" style="243" customWidth="1"/>
    <col min="12038" max="12287" width="11" style="243"/>
    <col min="12288" max="12288" width="50.5" style="243" customWidth="1"/>
    <col min="12289" max="12289" width="5.875" style="243" customWidth="1"/>
    <col min="12290" max="12290" width="8.5" style="243" customWidth="1"/>
    <col min="12291" max="12291" width="12" style="243" customWidth="1"/>
    <col min="12292" max="12292" width="13" style="243" customWidth="1"/>
    <col min="12293" max="12293" width="12.75" style="243" customWidth="1"/>
    <col min="12294" max="12543" width="11" style="243"/>
    <col min="12544" max="12544" width="50.5" style="243" customWidth="1"/>
    <col min="12545" max="12545" width="5.875" style="243" customWidth="1"/>
    <col min="12546" max="12546" width="8.5" style="243" customWidth="1"/>
    <col min="12547" max="12547" width="12" style="243" customWidth="1"/>
    <col min="12548" max="12548" width="13" style="243" customWidth="1"/>
    <col min="12549" max="12549" width="12.75" style="243" customWidth="1"/>
    <col min="12550" max="12799" width="11" style="243"/>
    <col min="12800" max="12800" width="50.5" style="243" customWidth="1"/>
    <col min="12801" max="12801" width="5.875" style="243" customWidth="1"/>
    <col min="12802" max="12802" width="8.5" style="243" customWidth="1"/>
    <col min="12803" max="12803" width="12" style="243" customWidth="1"/>
    <col min="12804" max="12804" width="13" style="243" customWidth="1"/>
    <col min="12805" max="12805" width="12.75" style="243" customWidth="1"/>
    <col min="12806" max="13055" width="11" style="243"/>
    <col min="13056" max="13056" width="50.5" style="243" customWidth="1"/>
    <col min="13057" max="13057" width="5.875" style="243" customWidth="1"/>
    <col min="13058" max="13058" width="8.5" style="243" customWidth="1"/>
    <col min="13059" max="13059" width="12" style="243" customWidth="1"/>
    <col min="13060" max="13060" width="13" style="243" customWidth="1"/>
    <col min="13061" max="13061" width="12.75" style="243" customWidth="1"/>
    <col min="13062" max="13311" width="11" style="243"/>
    <col min="13312" max="13312" width="50.5" style="243" customWidth="1"/>
    <col min="13313" max="13313" width="5.875" style="243" customWidth="1"/>
    <col min="13314" max="13314" width="8.5" style="243" customWidth="1"/>
    <col min="13315" max="13315" width="12" style="243" customWidth="1"/>
    <col min="13316" max="13316" width="13" style="243" customWidth="1"/>
    <col min="13317" max="13317" width="12.75" style="243" customWidth="1"/>
    <col min="13318" max="13567" width="11" style="243"/>
    <col min="13568" max="13568" width="50.5" style="243" customWidth="1"/>
    <col min="13569" max="13569" width="5.875" style="243" customWidth="1"/>
    <col min="13570" max="13570" width="8.5" style="243" customWidth="1"/>
    <col min="13571" max="13571" width="12" style="243" customWidth="1"/>
    <col min="13572" max="13572" width="13" style="243" customWidth="1"/>
    <col min="13573" max="13573" width="12.75" style="243" customWidth="1"/>
    <col min="13574" max="13823" width="11" style="243"/>
    <col min="13824" max="13824" width="50.5" style="243" customWidth="1"/>
    <col min="13825" max="13825" width="5.875" style="243" customWidth="1"/>
    <col min="13826" max="13826" width="8.5" style="243" customWidth="1"/>
    <col min="13827" max="13827" width="12" style="243" customWidth="1"/>
    <col min="13828" max="13828" width="13" style="243" customWidth="1"/>
    <col min="13829" max="13829" width="12.75" style="243" customWidth="1"/>
    <col min="13830" max="14079" width="11" style="243"/>
    <col min="14080" max="14080" width="50.5" style="243" customWidth="1"/>
    <col min="14081" max="14081" width="5.875" style="243" customWidth="1"/>
    <col min="14082" max="14082" width="8.5" style="243" customWidth="1"/>
    <col min="14083" max="14083" width="12" style="243" customWidth="1"/>
    <col min="14084" max="14084" width="13" style="243" customWidth="1"/>
    <col min="14085" max="14085" width="12.75" style="243" customWidth="1"/>
    <col min="14086" max="14335" width="11" style="243"/>
    <col min="14336" max="14336" width="50.5" style="243" customWidth="1"/>
    <col min="14337" max="14337" width="5.875" style="243" customWidth="1"/>
    <col min="14338" max="14338" width="8.5" style="243" customWidth="1"/>
    <col min="14339" max="14339" width="12" style="243" customWidth="1"/>
    <col min="14340" max="14340" width="13" style="243" customWidth="1"/>
    <col min="14341" max="14341" width="12.75" style="243" customWidth="1"/>
    <col min="14342" max="14591" width="11" style="243"/>
    <col min="14592" max="14592" width="50.5" style="243" customWidth="1"/>
    <col min="14593" max="14593" width="5.875" style="243" customWidth="1"/>
    <col min="14594" max="14594" width="8.5" style="243" customWidth="1"/>
    <col min="14595" max="14595" width="12" style="243" customWidth="1"/>
    <col min="14596" max="14596" width="13" style="243" customWidth="1"/>
    <col min="14597" max="14597" width="12.75" style="243" customWidth="1"/>
    <col min="14598" max="14847" width="11" style="243"/>
    <col min="14848" max="14848" width="50.5" style="243" customWidth="1"/>
    <col min="14849" max="14849" width="5.875" style="243" customWidth="1"/>
    <col min="14850" max="14850" width="8.5" style="243" customWidth="1"/>
    <col min="14851" max="14851" width="12" style="243" customWidth="1"/>
    <col min="14852" max="14852" width="13" style="243" customWidth="1"/>
    <col min="14853" max="14853" width="12.75" style="243" customWidth="1"/>
    <col min="14854" max="15103" width="11" style="243"/>
    <col min="15104" max="15104" width="50.5" style="243" customWidth="1"/>
    <col min="15105" max="15105" width="5.875" style="243" customWidth="1"/>
    <col min="15106" max="15106" width="8.5" style="243" customWidth="1"/>
    <col min="15107" max="15107" width="12" style="243" customWidth="1"/>
    <col min="15108" max="15108" width="13" style="243" customWidth="1"/>
    <col min="15109" max="15109" width="12.75" style="243" customWidth="1"/>
    <col min="15110" max="15359" width="11" style="243"/>
    <col min="15360" max="15360" width="50.5" style="243" customWidth="1"/>
    <col min="15361" max="15361" width="5.875" style="243" customWidth="1"/>
    <col min="15362" max="15362" width="8.5" style="243" customWidth="1"/>
    <col min="15363" max="15363" width="12" style="243" customWidth="1"/>
    <col min="15364" max="15364" width="13" style="243" customWidth="1"/>
    <col min="15365" max="15365" width="12.75" style="243" customWidth="1"/>
    <col min="15366" max="15615" width="11" style="243"/>
    <col min="15616" max="15616" width="50.5" style="243" customWidth="1"/>
    <col min="15617" max="15617" width="5.875" style="243" customWidth="1"/>
    <col min="15618" max="15618" width="8.5" style="243" customWidth="1"/>
    <col min="15619" max="15619" width="12" style="243" customWidth="1"/>
    <col min="15620" max="15620" width="13" style="243" customWidth="1"/>
    <col min="15621" max="15621" width="12.75" style="243" customWidth="1"/>
    <col min="15622" max="15871" width="11" style="243"/>
    <col min="15872" max="15872" width="50.5" style="243" customWidth="1"/>
    <col min="15873" max="15873" width="5.875" style="243" customWidth="1"/>
    <col min="15874" max="15874" width="8.5" style="243" customWidth="1"/>
    <col min="15875" max="15875" width="12" style="243" customWidth="1"/>
    <col min="15876" max="15876" width="13" style="243" customWidth="1"/>
    <col min="15877" max="15877" width="12.75" style="243" customWidth="1"/>
    <col min="15878" max="16127" width="11" style="243"/>
    <col min="16128" max="16128" width="50.5" style="243" customWidth="1"/>
    <col min="16129" max="16129" width="5.875" style="243" customWidth="1"/>
    <col min="16130" max="16130" width="8.5" style="243" customWidth="1"/>
    <col min="16131" max="16131" width="12" style="243" customWidth="1"/>
    <col min="16132" max="16132" width="13" style="243" customWidth="1"/>
    <col min="16133" max="16133" width="12.75" style="243" customWidth="1"/>
    <col min="16134" max="16384" width="11" style="243"/>
  </cols>
  <sheetData>
    <row r="1" spans="1:12" ht="25.5">
      <c r="F1" s="456" t="s">
        <v>996</v>
      </c>
    </row>
    <row r="2" spans="1:12" ht="15">
      <c r="A2" s="246"/>
      <c r="B2" s="259"/>
      <c r="C2" s="260"/>
      <c r="D2" s="451"/>
      <c r="E2" s="457"/>
      <c r="F2" s="616">
        <v>1</v>
      </c>
      <c r="G2" s="261"/>
      <c r="H2" s="262"/>
    </row>
    <row r="3" spans="1:12" ht="29.25" customHeight="1">
      <c r="A3" s="398" t="s">
        <v>605</v>
      </c>
      <c r="B3" s="399" t="s">
        <v>590</v>
      </c>
      <c r="C3" s="399"/>
      <c r="D3" s="452" t="s">
        <v>591</v>
      </c>
      <c r="E3" s="400" t="s">
        <v>607</v>
      </c>
      <c r="F3" s="456" t="s">
        <v>995</v>
      </c>
      <c r="G3" s="401"/>
      <c r="H3" s="402"/>
      <c r="I3" s="403" t="s">
        <v>606</v>
      </c>
      <c r="J3" s="408" t="s">
        <v>1129</v>
      </c>
      <c r="K3" s="408" t="s">
        <v>1130</v>
      </c>
      <c r="L3" s="405"/>
    </row>
    <row r="4" spans="1:12" ht="29.25" customHeight="1">
      <c r="A4" s="610"/>
      <c r="B4" s="610"/>
      <c r="C4" s="610"/>
      <c r="D4" s="611"/>
      <c r="E4" s="458">
        <v>0.19</v>
      </c>
      <c r="F4" s="459">
        <v>1.0161</v>
      </c>
      <c r="G4" s="612"/>
      <c r="H4" s="613"/>
      <c r="I4" s="614"/>
      <c r="J4" s="615"/>
      <c r="K4" s="615"/>
      <c r="L4" s="405"/>
    </row>
    <row r="5" spans="1:12" ht="16.5">
      <c r="A5" s="551" t="s">
        <v>601</v>
      </c>
      <c r="B5" s="552" t="s">
        <v>603</v>
      </c>
      <c r="C5" s="541"/>
      <c r="D5" s="553"/>
      <c r="E5" s="554"/>
      <c r="F5" s="555">
        <f>+CUADRILLA!K25</f>
        <v>126080</v>
      </c>
      <c r="G5" s="556"/>
      <c r="H5" s="557"/>
      <c r="I5" s="541">
        <f>+F5</f>
        <v>126080</v>
      </c>
      <c r="J5" s="540"/>
      <c r="K5" s="541"/>
      <c r="L5" s="406"/>
    </row>
    <row r="6" spans="1:12">
      <c r="A6" s="558" t="s">
        <v>711</v>
      </c>
      <c r="B6" s="559" t="s">
        <v>8</v>
      </c>
      <c r="C6" s="560"/>
      <c r="D6" s="561">
        <v>13025</v>
      </c>
      <c r="E6" s="562">
        <f t="shared" ref="E6:E37" si="0">D6*(1+$E$4)</f>
        <v>15499.75</v>
      </c>
      <c r="F6" s="563">
        <f>+F$2</f>
        <v>1</v>
      </c>
      <c r="G6" s="564"/>
      <c r="H6" s="560"/>
      <c r="I6" s="565">
        <f>+ROUND(E6*F6,0)</f>
        <v>15500</v>
      </c>
      <c r="J6" s="542" t="s">
        <v>814</v>
      </c>
      <c r="K6" s="543"/>
      <c r="L6" s="253"/>
    </row>
    <row r="7" spans="1:12" ht="15">
      <c r="A7" s="566" t="s">
        <v>754</v>
      </c>
      <c r="B7" s="567" t="s">
        <v>8</v>
      </c>
      <c r="C7" s="568"/>
      <c r="D7" s="569">
        <v>8072</v>
      </c>
      <c r="E7" s="570">
        <f t="shared" si="0"/>
        <v>9605.68</v>
      </c>
      <c r="F7" s="563">
        <f>+$F$4</f>
        <v>1.0161</v>
      </c>
      <c r="G7" s="571"/>
      <c r="H7" s="568"/>
      <c r="I7" s="565">
        <f t="shared" ref="I7:I71" si="1">+ROUND(E7*F7,0)</f>
        <v>9760</v>
      </c>
      <c r="J7" s="542" t="s">
        <v>1127</v>
      </c>
      <c r="K7" s="544" t="s">
        <v>792</v>
      </c>
      <c r="L7" s="407"/>
    </row>
    <row r="8" spans="1:12">
      <c r="A8" s="566" t="s">
        <v>712</v>
      </c>
      <c r="B8" s="567" t="s">
        <v>8</v>
      </c>
      <c r="C8" s="568"/>
      <c r="D8" s="569">
        <v>11597</v>
      </c>
      <c r="E8" s="570">
        <f t="shared" si="0"/>
        <v>13800.43</v>
      </c>
      <c r="F8" s="563">
        <f>+F$2</f>
        <v>1</v>
      </c>
      <c r="G8" s="571"/>
      <c r="H8" s="568"/>
      <c r="I8" s="565">
        <f t="shared" si="1"/>
        <v>13800</v>
      </c>
      <c r="J8" s="542" t="s">
        <v>814</v>
      </c>
      <c r="K8" s="543"/>
      <c r="L8" s="253"/>
    </row>
    <row r="9" spans="1:12">
      <c r="A9" s="572" t="s">
        <v>702</v>
      </c>
      <c r="B9" s="567" t="s">
        <v>8</v>
      </c>
      <c r="C9" s="568"/>
      <c r="D9" s="569">
        <v>29790</v>
      </c>
      <c r="E9" s="570">
        <f t="shared" si="0"/>
        <v>35450.1</v>
      </c>
      <c r="F9" s="563">
        <f>+F$2</f>
        <v>1</v>
      </c>
      <c r="G9" s="571"/>
      <c r="H9" s="568"/>
      <c r="I9" s="565">
        <f t="shared" si="1"/>
        <v>35450</v>
      </c>
      <c r="J9" s="542" t="s">
        <v>814</v>
      </c>
      <c r="K9" s="543"/>
      <c r="L9" s="253"/>
    </row>
    <row r="10" spans="1:12">
      <c r="A10" s="573" t="s">
        <v>704</v>
      </c>
      <c r="B10" s="567" t="s">
        <v>8</v>
      </c>
      <c r="C10" s="568"/>
      <c r="D10" s="569">
        <v>5798</v>
      </c>
      <c r="E10" s="570">
        <f t="shared" si="0"/>
        <v>6899.62</v>
      </c>
      <c r="F10" s="563">
        <f>+F$2</f>
        <v>1</v>
      </c>
      <c r="G10" s="571"/>
      <c r="H10" s="568"/>
      <c r="I10" s="565">
        <f t="shared" si="1"/>
        <v>6900</v>
      </c>
      <c r="J10" s="542" t="s">
        <v>814</v>
      </c>
      <c r="K10" s="543"/>
      <c r="L10" s="253"/>
    </row>
    <row r="11" spans="1:12" ht="15">
      <c r="A11" s="573" t="s">
        <v>739</v>
      </c>
      <c r="B11" s="567" t="s">
        <v>8</v>
      </c>
      <c r="C11" s="568"/>
      <c r="D11" s="569">
        <v>113</v>
      </c>
      <c r="E11" s="570">
        <f t="shared" si="0"/>
        <v>134.47</v>
      </c>
      <c r="F11" s="563">
        <f t="shared" ref="F11:F17" si="2">+$F$4</f>
        <v>1.0161</v>
      </c>
      <c r="G11" s="571"/>
      <c r="H11" s="568"/>
      <c r="I11" s="565">
        <f t="shared" si="1"/>
        <v>137</v>
      </c>
      <c r="J11" s="542" t="s">
        <v>1127</v>
      </c>
      <c r="K11" s="544" t="s">
        <v>793</v>
      </c>
      <c r="L11" s="253"/>
    </row>
    <row r="12" spans="1:12" ht="15">
      <c r="A12" s="574" t="s">
        <v>675</v>
      </c>
      <c r="B12" s="575" t="s">
        <v>643</v>
      </c>
      <c r="C12" s="575"/>
      <c r="D12" s="576">
        <v>29500</v>
      </c>
      <c r="E12" s="570">
        <f t="shared" si="0"/>
        <v>35105</v>
      </c>
      <c r="F12" s="563">
        <f t="shared" si="2"/>
        <v>1.0161</v>
      </c>
      <c r="G12" s="571"/>
      <c r="H12" s="568"/>
      <c r="I12" s="565">
        <f t="shared" si="1"/>
        <v>35670</v>
      </c>
      <c r="J12" s="542" t="s">
        <v>1127</v>
      </c>
      <c r="K12" s="544" t="s">
        <v>794</v>
      </c>
      <c r="L12" s="253"/>
    </row>
    <row r="13" spans="1:12" ht="15">
      <c r="A13" s="577" t="s">
        <v>652</v>
      </c>
      <c r="B13" s="575" t="s">
        <v>643</v>
      </c>
      <c r="C13" s="575"/>
      <c r="D13" s="576">
        <v>90000</v>
      </c>
      <c r="E13" s="570">
        <f t="shared" si="0"/>
        <v>107100</v>
      </c>
      <c r="F13" s="563">
        <f t="shared" si="2"/>
        <v>1.0161</v>
      </c>
      <c r="G13" s="571"/>
      <c r="H13" s="568"/>
      <c r="I13" s="565">
        <f t="shared" si="1"/>
        <v>108824</v>
      </c>
      <c r="J13" s="542" t="s">
        <v>1127</v>
      </c>
      <c r="K13" s="544" t="s">
        <v>795</v>
      </c>
      <c r="L13" s="253"/>
    </row>
    <row r="14" spans="1:12" ht="15">
      <c r="A14" s="574" t="s">
        <v>670</v>
      </c>
      <c r="B14" s="575" t="s">
        <v>643</v>
      </c>
      <c r="C14" s="575"/>
      <c r="D14" s="576">
        <v>43000</v>
      </c>
      <c r="E14" s="570">
        <f t="shared" si="0"/>
        <v>51170</v>
      </c>
      <c r="F14" s="563">
        <f t="shared" si="2"/>
        <v>1.0161</v>
      </c>
      <c r="G14" s="571"/>
      <c r="H14" s="568"/>
      <c r="I14" s="565">
        <f t="shared" si="1"/>
        <v>51994</v>
      </c>
      <c r="J14" s="542" t="s">
        <v>1127</v>
      </c>
      <c r="K14" s="544" t="s">
        <v>796</v>
      </c>
      <c r="L14" s="253"/>
    </row>
    <row r="15" spans="1:12" ht="15">
      <c r="A15" s="574" t="s">
        <v>671</v>
      </c>
      <c r="B15" s="575" t="s">
        <v>643</v>
      </c>
      <c r="C15" s="575"/>
      <c r="D15" s="576">
        <v>38740</v>
      </c>
      <c r="E15" s="570">
        <f t="shared" si="0"/>
        <v>46100.6</v>
      </c>
      <c r="F15" s="563">
        <f t="shared" si="2"/>
        <v>1.0161</v>
      </c>
      <c r="G15" s="571"/>
      <c r="H15" s="568"/>
      <c r="I15" s="565">
        <f t="shared" si="1"/>
        <v>46843</v>
      </c>
      <c r="J15" s="542" t="s">
        <v>1127</v>
      </c>
      <c r="K15" s="544" t="s">
        <v>797</v>
      </c>
      <c r="L15" s="253"/>
    </row>
    <row r="16" spans="1:12">
      <c r="A16" s="578" t="s">
        <v>750</v>
      </c>
      <c r="B16" s="567" t="s">
        <v>8</v>
      </c>
      <c r="C16" s="568"/>
      <c r="D16" s="569">
        <v>13572</v>
      </c>
      <c r="E16" s="570">
        <f t="shared" si="0"/>
        <v>16150.679999999998</v>
      </c>
      <c r="F16" s="563">
        <f>+F$2</f>
        <v>1</v>
      </c>
      <c r="G16" s="571"/>
      <c r="H16" s="568"/>
      <c r="I16" s="565">
        <f t="shared" si="1"/>
        <v>16151</v>
      </c>
      <c r="J16" s="542" t="s">
        <v>814</v>
      </c>
      <c r="K16" s="543"/>
      <c r="L16" s="253"/>
    </row>
    <row r="17" spans="1:12" ht="15">
      <c r="A17" s="331" t="s">
        <v>617</v>
      </c>
      <c r="B17" s="575" t="s">
        <v>49</v>
      </c>
      <c r="C17" s="575"/>
      <c r="D17" s="576">
        <v>15987</v>
      </c>
      <c r="E17" s="570">
        <f t="shared" si="0"/>
        <v>19024.53</v>
      </c>
      <c r="F17" s="563">
        <f t="shared" si="2"/>
        <v>1.0161</v>
      </c>
      <c r="G17" s="571"/>
      <c r="H17" s="568"/>
      <c r="I17" s="565">
        <f t="shared" si="1"/>
        <v>19331</v>
      </c>
      <c r="J17" s="542" t="s">
        <v>1127</v>
      </c>
      <c r="K17" s="544" t="s">
        <v>954</v>
      </c>
      <c r="L17" s="253"/>
    </row>
    <row r="18" spans="1:12">
      <c r="A18" s="331" t="s">
        <v>616</v>
      </c>
      <c r="B18" s="575" t="s">
        <v>49</v>
      </c>
      <c r="C18" s="575"/>
      <c r="D18" s="576">
        <v>158152</v>
      </c>
      <c r="E18" s="570">
        <f t="shared" si="0"/>
        <v>188200.88</v>
      </c>
      <c r="F18" s="563">
        <f>+F$2</f>
        <v>1</v>
      </c>
      <c r="G18" s="571"/>
      <c r="H18" s="568"/>
      <c r="I18" s="565">
        <f t="shared" si="1"/>
        <v>188201</v>
      </c>
      <c r="J18" s="542" t="s">
        <v>814</v>
      </c>
      <c r="K18" s="543"/>
      <c r="L18" s="253"/>
    </row>
    <row r="19" spans="1:12">
      <c r="A19" s="579" t="s">
        <v>762</v>
      </c>
      <c r="B19" s="567" t="s">
        <v>8</v>
      </c>
      <c r="C19" s="568"/>
      <c r="D19" s="569">
        <v>71261</v>
      </c>
      <c r="E19" s="570">
        <f t="shared" si="0"/>
        <v>84800.59</v>
      </c>
      <c r="F19" s="563">
        <f>+F$2</f>
        <v>1</v>
      </c>
      <c r="G19" s="571"/>
      <c r="H19" s="568"/>
      <c r="I19" s="565">
        <f t="shared" si="1"/>
        <v>84801</v>
      </c>
      <c r="J19" s="542" t="s">
        <v>814</v>
      </c>
      <c r="K19" s="543"/>
      <c r="L19" s="253"/>
    </row>
    <row r="20" spans="1:12">
      <c r="A20" s="579" t="s">
        <v>759</v>
      </c>
      <c r="B20" s="567" t="s">
        <v>8</v>
      </c>
      <c r="C20" s="568"/>
      <c r="D20" s="569">
        <v>15714</v>
      </c>
      <c r="E20" s="570">
        <f t="shared" si="0"/>
        <v>18699.66</v>
      </c>
      <c r="F20" s="563">
        <f>+F$2</f>
        <v>1</v>
      </c>
      <c r="G20" s="571"/>
      <c r="H20" s="568"/>
      <c r="I20" s="565">
        <f t="shared" si="1"/>
        <v>18700</v>
      </c>
      <c r="J20" s="542" t="s">
        <v>814</v>
      </c>
      <c r="K20" s="543"/>
      <c r="L20" s="253"/>
    </row>
    <row r="21" spans="1:12">
      <c r="A21" s="566" t="s">
        <v>815</v>
      </c>
      <c r="B21" s="575" t="s">
        <v>614</v>
      </c>
      <c r="C21" s="575"/>
      <c r="D21" s="576">
        <v>25960</v>
      </c>
      <c r="E21" s="570">
        <f t="shared" si="0"/>
        <v>30892.399999999998</v>
      </c>
      <c r="F21" s="563">
        <f>+$F$4</f>
        <v>1.0161</v>
      </c>
      <c r="G21" s="571"/>
      <c r="H21" s="568"/>
      <c r="I21" s="565">
        <f t="shared" si="1"/>
        <v>31390</v>
      </c>
      <c r="J21" s="542" t="s">
        <v>1127</v>
      </c>
      <c r="K21" s="545" t="s">
        <v>959</v>
      </c>
      <c r="L21" s="253"/>
    </row>
    <row r="22" spans="1:12">
      <c r="A22" s="566" t="s">
        <v>748</v>
      </c>
      <c r="B22" s="575" t="s">
        <v>8</v>
      </c>
      <c r="C22" s="575"/>
      <c r="D22" s="576">
        <f>8070/1.19</f>
        <v>6781.5126050420167</v>
      </c>
      <c r="E22" s="570">
        <f t="shared" si="0"/>
        <v>8070</v>
      </c>
      <c r="F22" s="563">
        <f>+F$2</f>
        <v>1</v>
      </c>
      <c r="G22" s="571"/>
      <c r="H22" s="568"/>
      <c r="I22" s="565">
        <f t="shared" si="1"/>
        <v>8070</v>
      </c>
      <c r="J22" s="542" t="s">
        <v>814</v>
      </c>
      <c r="K22" s="543" t="s">
        <v>1082</v>
      </c>
      <c r="L22" s="253"/>
    </row>
    <row r="23" spans="1:12">
      <c r="A23" s="566" t="s">
        <v>749</v>
      </c>
      <c r="B23" s="575" t="s">
        <v>8</v>
      </c>
      <c r="C23" s="575"/>
      <c r="D23" s="576">
        <f>15532</f>
        <v>15532</v>
      </c>
      <c r="E23" s="570">
        <f t="shared" si="0"/>
        <v>18483.079999999998</v>
      </c>
      <c r="F23" s="563">
        <f>+$F$4</f>
        <v>1.0161</v>
      </c>
      <c r="G23" s="571"/>
      <c r="H23" s="568"/>
      <c r="I23" s="565">
        <f t="shared" si="1"/>
        <v>18781</v>
      </c>
      <c r="J23" s="542" t="s">
        <v>1111</v>
      </c>
      <c r="K23" s="543"/>
      <c r="L23" s="253"/>
    </row>
    <row r="24" spans="1:12">
      <c r="A24" s="331" t="s">
        <v>632</v>
      </c>
      <c r="B24" s="575" t="s">
        <v>614</v>
      </c>
      <c r="C24" s="575"/>
      <c r="D24" s="576">
        <v>6414.2857142857147</v>
      </c>
      <c r="E24" s="570">
        <f t="shared" si="0"/>
        <v>7633</v>
      </c>
      <c r="F24" s="563">
        <f>+$F$4</f>
        <v>1.0161</v>
      </c>
      <c r="G24" s="571"/>
      <c r="H24" s="568"/>
      <c r="I24" s="565">
        <f t="shared" si="1"/>
        <v>7756</v>
      </c>
      <c r="J24" s="542" t="s">
        <v>1127</v>
      </c>
      <c r="K24" s="543"/>
      <c r="L24" s="253"/>
    </row>
    <row r="25" spans="1:12">
      <c r="A25" s="580" t="s">
        <v>624</v>
      </c>
      <c r="B25" s="575" t="s">
        <v>614</v>
      </c>
      <c r="C25" s="575"/>
      <c r="D25" s="576">
        <v>1555</v>
      </c>
      <c r="E25" s="570">
        <f t="shared" si="0"/>
        <v>1850.4499999999998</v>
      </c>
      <c r="F25" s="563">
        <f t="shared" ref="F25:F35" si="3">+F$2</f>
        <v>1</v>
      </c>
      <c r="G25" s="571"/>
      <c r="H25" s="568"/>
      <c r="I25" s="565">
        <f t="shared" si="1"/>
        <v>1850</v>
      </c>
      <c r="J25" s="542" t="s">
        <v>814</v>
      </c>
      <c r="K25" s="543"/>
      <c r="L25" s="253"/>
    </row>
    <row r="26" spans="1:12">
      <c r="A26" s="581" t="s">
        <v>708</v>
      </c>
      <c r="B26" s="567" t="s">
        <v>8</v>
      </c>
      <c r="C26" s="568"/>
      <c r="D26" s="569">
        <v>3025</v>
      </c>
      <c r="E26" s="570">
        <f t="shared" si="0"/>
        <v>3599.75</v>
      </c>
      <c r="F26" s="563">
        <f t="shared" si="3"/>
        <v>1</v>
      </c>
      <c r="G26" s="571"/>
      <c r="H26" s="568"/>
      <c r="I26" s="565">
        <f t="shared" si="1"/>
        <v>3600</v>
      </c>
      <c r="J26" s="542" t="s">
        <v>814</v>
      </c>
      <c r="K26" s="543"/>
      <c r="L26" s="253"/>
    </row>
    <row r="27" spans="1:12">
      <c r="A27" s="582" t="s">
        <v>637</v>
      </c>
      <c r="B27" s="575" t="s">
        <v>49</v>
      </c>
      <c r="C27" s="575"/>
      <c r="D27" s="576">
        <v>123277</v>
      </c>
      <c r="E27" s="570">
        <f t="shared" si="0"/>
        <v>146699.63</v>
      </c>
      <c r="F27" s="563">
        <f t="shared" si="3"/>
        <v>1</v>
      </c>
      <c r="G27" s="571"/>
      <c r="H27" s="568"/>
      <c r="I27" s="565">
        <f t="shared" si="1"/>
        <v>146700</v>
      </c>
      <c r="J27" s="542" t="s">
        <v>814</v>
      </c>
      <c r="K27" s="543"/>
      <c r="L27" s="253"/>
    </row>
    <row r="28" spans="1:12">
      <c r="A28" s="583" t="s">
        <v>741</v>
      </c>
      <c r="B28" s="567" t="s">
        <v>8</v>
      </c>
      <c r="C28" s="568"/>
      <c r="D28" s="569">
        <v>189202</v>
      </c>
      <c r="E28" s="570">
        <f t="shared" si="0"/>
        <v>225150.37999999998</v>
      </c>
      <c r="F28" s="563">
        <f t="shared" si="3"/>
        <v>1</v>
      </c>
      <c r="G28" s="571"/>
      <c r="H28" s="568"/>
      <c r="I28" s="565">
        <f t="shared" si="1"/>
        <v>225150</v>
      </c>
      <c r="J28" s="542" t="s">
        <v>814</v>
      </c>
      <c r="K28" s="543"/>
      <c r="L28" s="253"/>
    </row>
    <row r="29" spans="1:12">
      <c r="A29" s="329" t="s">
        <v>85</v>
      </c>
      <c r="B29" s="575" t="s">
        <v>49</v>
      </c>
      <c r="C29" s="575"/>
      <c r="D29" s="576">
        <v>21975</v>
      </c>
      <c r="E29" s="570">
        <f t="shared" si="0"/>
        <v>26150.25</v>
      </c>
      <c r="F29" s="563">
        <f t="shared" si="3"/>
        <v>1</v>
      </c>
      <c r="G29" s="571"/>
      <c r="H29" s="568"/>
      <c r="I29" s="565">
        <f t="shared" si="1"/>
        <v>26150</v>
      </c>
      <c r="J29" s="542" t="s">
        <v>814</v>
      </c>
      <c r="K29" s="543"/>
      <c r="L29" s="253"/>
    </row>
    <row r="30" spans="1:12">
      <c r="A30" s="578" t="s">
        <v>745</v>
      </c>
      <c r="B30" s="567" t="s">
        <v>8</v>
      </c>
      <c r="C30" s="568"/>
      <c r="D30" s="569">
        <v>1849</v>
      </c>
      <c r="E30" s="570">
        <f t="shared" si="0"/>
        <v>2200.31</v>
      </c>
      <c r="F30" s="563">
        <f t="shared" si="3"/>
        <v>1</v>
      </c>
      <c r="G30" s="571"/>
      <c r="H30" s="568"/>
      <c r="I30" s="565">
        <f t="shared" si="1"/>
        <v>2200</v>
      </c>
      <c r="J30" s="542" t="s">
        <v>814</v>
      </c>
      <c r="K30" s="543"/>
      <c r="L30" s="253"/>
    </row>
    <row r="31" spans="1:12">
      <c r="A31" s="331" t="s">
        <v>618</v>
      </c>
      <c r="B31" s="575" t="s">
        <v>614</v>
      </c>
      <c r="C31" s="575"/>
      <c r="D31" s="576">
        <v>1471</v>
      </c>
      <c r="E31" s="570">
        <f t="shared" si="0"/>
        <v>1750.49</v>
      </c>
      <c r="F31" s="563">
        <f t="shared" si="3"/>
        <v>1</v>
      </c>
      <c r="G31" s="571"/>
      <c r="H31" s="568"/>
      <c r="I31" s="565">
        <f t="shared" si="1"/>
        <v>1750</v>
      </c>
      <c r="J31" s="542" t="s">
        <v>814</v>
      </c>
      <c r="K31" s="543"/>
      <c r="L31" s="253"/>
    </row>
    <row r="32" spans="1:12">
      <c r="A32" s="331" t="s">
        <v>623</v>
      </c>
      <c r="B32" s="575" t="s">
        <v>638</v>
      </c>
      <c r="C32" s="575"/>
      <c r="D32" s="576">
        <v>37521</v>
      </c>
      <c r="E32" s="570">
        <f t="shared" si="0"/>
        <v>44649.99</v>
      </c>
      <c r="F32" s="563">
        <f t="shared" si="3"/>
        <v>1</v>
      </c>
      <c r="G32" s="571"/>
      <c r="H32" s="568"/>
      <c r="I32" s="565">
        <f t="shared" si="1"/>
        <v>44650</v>
      </c>
      <c r="J32" s="542" t="s">
        <v>814</v>
      </c>
      <c r="K32" s="543"/>
      <c r="L32" s="253"/>
    </row>
    <row r="33" spans="1:12">
      <c r="A33" s="329" t="s">
        <v>622</v>
      </c>
      <c r="B33" s="575" t="s">
        <v>49</v>
      </c>
      <c r="C33" s="575"/>
      <c r="D33" s="576">
        <v>15672</v>
      </c>
      <c r="E33" s="570">
        <f t="shared" si="0"/>
        <v>18649.68</v>
      </c>
      <c r="F33" s="563">
        <f t="shared" si="3"/>
        <v>1</v>
      </c>
      <c r="G33" s="571"/>
      <c r="H33" s="568"/>
      <c r="I33" s="565">
        <f t="shared" si="1"/>
        <v>18650</v>
      </c>
      <c r="J33" s="542" t="s">
        <v>814</v>
      </c>
      <c r="K33" s="543"/>
      <c r="L33" s="253"/>
    </row>
    <row r="34" spans="1:12">
      <c r="A34" s="584" t="s">
        <v>639</v>
      </c>
      <c r="B34" s="575" t="s">
        <v>638</v>
      </c>
      <c r="C34" s="575"/>
      <c r="D34" s="576">
        <v>118782</v>
      </c>
      <c r="E34" s="570">
        <f t="shared" si="0"/>
        <v>141350.57999999999</v>
      </c>
      <c r="F34" s="563">
        <f t="shared" si="3"/>
        <v>1</v>
      </c>
      <c r="G34" s="571"/>
      <c r="H34" s="568"/>
      <c r="I34" s="565">
        <f t="shared" si="1"/>
        <v>141351</v>
      </c>
      <c r="J34" s="542" t="s">
        <v>814</v>
      </c>
      <c r="K34" s="543"/>
      <c r="L34" s="253"/>
    </row>
    <row r="35" spans="1:12">
      <c r="A35" s="331" t="s">
        <v>625</v>
      </c>
      <c r="B35" s="575" t="s">
        <v>49</v>
      </c>
      <c r="C35" s="575"/>
      <c r="D35" s="576">
        <v>12815</v>
      </c>
      <c r="E35" s="570">
        <f t="shared" si="0"/>
        <v>15249.849999999999</v>
      </c>
      <c r="F35" s="563">
        <f t="shared" si="3"/>
        <v>1</v>
      </c>
      <c r="G35" s="571"/>
      <c r="H35" s="568"/>
      <c r="I35" s="565">
        <f t="shared" si="1"/>
        <v>15250</v>
      </c>
      <c r="J35" s="542" t="s">
        <v>814</v>
      </c>
      <c r="K35" s="543"/>
      <c r="L35" s="253"/>
    </row>
    <row r="36" spans="1:12" ht="15">
      <c r="A36" s="331" t="s">
        <v>620</v>
      </c>
      <c r="B36" s="575" t="s">
        <v>643</v>
      </c>
      <c r="C36" s="575"/>
      <c r="D36" s="576">
        <v>347500</v>
      </c>
      <c r="E36" s="570">
        <f t="shared" si="0"/>
        <v>413525</v>
      </c>
      <c r="F36" s="563">
        <f>+$F$4</f>
        <v>1.0161</v>
      </c>
      <c r="G36" s="571"/>
      <c r="H36" s="568"/>
      <c r="I36" s="565">
        <f t="shared" si="1"/>
        <v>420183</v>
      </c>
      <c r="J36" s="542" t="s">
        <v>1127</v>
      </c>
      <c r="K36" s="544" t="s">
        <v>799</v>
      </c>
      <c r="L36" s="253"/>
    </row>
    <row r="37" spans="1:12" ht="15">
      <c r="A37" s="585" t="s">
        <v>633</v>
      </c>
      <c r="B37" s="575" t="s">
        <v>643</v>
      </c>
      <c r="C37" s="575"/>
      <c r="D37" s="576">
        <v>310800</v>
      </c>
      <c r="E37" s="570">
        <f t="shared" si="0"/>
        <v>369852</v>
      </c>
      <c r="F37" s="563">
        <f>+$F$4</f>
        <v>1.0161</v>
      </c>
      <c r="G37" s="571"/>
      <c r="H37" s="568"/>
      <c r="I37" s="565">
        <f t="shared" si="1"/>
        <v>375807</v>
      </c>
      <c r="J37" s="542" t="s">
        <v>1127</v>
      </c>
      <c r="K37" s="544" t="s">
        <v>802</v>
      </c>
      <c r="L37" s="253"/>
    </row>
    <row r="38" spans="1:12" ht="15">
      <c r="A38" s="586" t="s">
        <v>686</v>
      </c>
      <c r="B38" s="575" t="s">
        <v>643</v>
      </c>
      <c r="C38" s="575"/>
      <c r="D38" s="576">
        <v>378000</v>
      </c>
      <c r="E38" s="570">
        <f t="shared" ref="E38:E68" si="4">D38*(1+$E$4)</f>
        <v>449820</v>
      </c>
      <c r="F38" s="563">
        <f>+$F$4</f>
        <v>1.0161</v>
      </c>
      <c r="G38" s="571"/>
      <c r="H38" s="568"/>
      <c r="I38" s="565">
        <f t="shared" si="1"/>
        <v>457062</v>
      </c>
      <c r="J38" s="542" t="s">
        <v>1127</v>
      </c>
      <c r="K38" s="544" t="s">
        <v>801</v>
      </c>
      <c r="L38" s="253"/>
    </row>
    <row r="39" spans="1:12">
      <c r="A39" s="586" t="s">
        <v>735</v>
      </c>
      <c r="B39" s="575" t="s">
        <v>643</v>
      </c>
      <c r="C39" s="575"/>
      <c r="D39" s="576">
        <v>310800</v>
      </c>
      <c r="E39" s="570">
        <f t="shared" si="4"/>
        <v>369852</v>
      </c>
      <c r="F39" s="563">
        <f t="shared" ref="F39:F45" si="5">+F$2</f>
        <v>1</v>
      </c>
      <c r="G39" s="571"/>
      <c r="H39" s="568"/>
      <c r="I39" s="565">
        <f t="shared" si="1"/>
        <v>369852</v>
      </c>
      <c r="J39" s="542" t="s">
        <v>1083</v>
      </c>
      <c r="K39" s="543"/>
      <c r="L39" s="253"/>
    </row>
    <row r="40" spans="1:12">
      <c r="A40" s="583" t="s">
        <v>752</v>
      </c>
      <c r="B40" s="567" t="s">
        <v>8</v>
      </c>
      <c r="C40" s="568"/>
      <c r="D40" s="569">
        <v>7184</v>
      </c>
      <c r="E40" s="570">
        <f t="shared" si="4"/>
        <v>8548.9599999999991</v>
      </c>
      <c r="F40" s="563">
        <f t="shared" si="5"/>
        <v>1</v>
      </c>
      <c r="G40" s="571"/>
      <c r="H40" s="568"/>
      <c r="I40" s="565">
        <f t="shared" si="1"/>
        <v>8549</v>
      </c>
      <c r="J40" s="542" t="s">
        <v>814</v>
      </c>
      <c r="K40" s="543"/>
      <c r="L40" s="253"/>
    </row>
    <row r="41" spans="1:12">
      <c r="A41" s="587" t="s">
        <v>764</v>
      </c>
      <c r="B41" s="567" t="s">
        <v>8</v>
      </c>
      <c r="C41" s="568"/>
      <c r="D41" s="569">
        <v>7184</v>
      </c>
      <c r="E41" s="570">
        <f t="shared" si="4"/>
        <v>8548.9599999999991</v>
      </c>
      <c r="F41" s="563">
        <f t="shared" si="5"/>
        <v>1</v>
      </c>
      <c r="G41" s="571"/>
      <c r="H41" s="568"/>
      <c r="I41" s="565">
        <f t="shared" si="1"/>
        <v>8549</v>
      </c>
      <c r="J41" s="542" t="s">
        <v>814</v>
      </c>
      <c r="K41" s="543"/>
      <c r="L41" s="253"/>
    </row>
    <row r="42" spans="1:12">
      <c r="A42" s="329" t="s">
        <v>627</v>
      </c>
      <c r="B42" s="575" t="s">
        <v>49</v>
      </c>
      <c r="C42" s="575"/>
      <c r="D42" s="576">
        <v>12227</v>
      </c>
      <c r="E42" s="570">
        <f t="shared" si="4"/>
        <v>14550.13</v>
      </c>
      <c r="F42" s="563">
        <f t="shared" si="5"/>
        <v>1</v>
      </c>
      <c r="G42" s="571"/>
      <c r="H42" s="568"/>
      <c r="I42" s="565">
        <f t="shared" si="1"/>
        <v>14550</v>
      </c>
      <c r="J42" s="542" t="s">
        <v>814</v>
      </c>
      <c r="K42" s="543"/>
      <c r="L42" s="253"/>
    </row>
    <row r="43" spans="1:12">
      <c r="A43" s="329" t="s">
        <v>651</v>
      </c>
      <c r="B43" s="575" t="s">
        <v>614</v>
      </c>
      <c r="C43" s="575"/>
      <c r="D43" s="576">
        <v>5000</v>
      </c>
      <c r="E43" s="570">
        <f t="shared" si="4"/>
        <v>5950</v>
      </c>
      <c r="F43" s="563">
        <f t="shared" si="5"/>
        <v>1</v>
      </c>
      <c r="G43" s="571"/>
      <c r="H43" s="568"/>
      <c r="I43" s="565">
        <f t="shared" si="1"/>
        <v>5950</v>
      </c>
      <c r="J43" s="542" t="s">
        <v>965</v>
      </c>
      <c r="K43" s="543"/>
      <c r="L43" s="253"/>
    </row>
    <row r="44" spans="1:12">
      <c r="A44" s="587" t="s">
        <v>690</v>
      </c>
      <c r="B44" s="567" t="s">
        <v>8</v>
      </c>
      <c r="C44" s="568"/>
      <c r="D44" s="569">
        <v>97900</v>
      </c>
      <c r="E44" s="570">
        <f t="shared" si="4"/>
        <v>116501</v>
      </c>
      <c r="F44" s="563">
        <f t="shared" si="5"/>
        <v>1</v>
      </c>
      <c r="G44" s="571"/>
      <c r="H44" s="568"/>
      <c r="I44" s="565">
        <f t="shared" si="1"/>
        <v>116501</v>
      </c>
      <c r="J44" s="542" t="s">
        <v>814</v>
      </c>
      <c r="K44" s="543"/>
      <c r="L44" s="253"/>
    </row>
    <row r="45" spans="1:12">
      <c r="A45" s="586" t="s">
        <v>640</v>
      </c>
      <c r="B45" s="575" t="s">
        <v>49</v>
      </c>
      <c r="C45" s="588"/>
      <c r="D45" s="589">
        <v>51135</v>
      </c>
      <c r="E45" s="570">
        <f t="shared" si="4"/>
        <v>60850.649999999994</v>
      </c>
      <c r="F45" s="563">
        <f t="shared" si="5"/>
        <v>1</v>
      </c>
      <c r="G45" s="571"/>
      <c r="H45" s="568"/>
      <c r="I45" s="565">
        <f t="shared" si="1"/>
        <v>60851</v>
      </c>
      <c r="J45" s="542" t="s">
        <v>814</v>
      </c>
      <c r="K45" s="543"/>
      <c r="L45" s="253"/>
    </row>
    <row r="46" spans="1:12" ht="15">
      <c r="A46" s="586" t="s">
        <v>621</v>
      </c>
      <c r="B46" s="575" t="s">
        <v>49</v>
      </c>
      <c r="C46" s="575"/>
      <c r="D46" s="576">
        <v>69273</v>
      </c>
      <c r="E46" s="570">
        <f t="shared" si="4"/>
        <v>82434.87</v>
      </c>
      <c r="F46" s="563">
        <f>+$F$4</f>
        <v>1.0161</v>
      </c>
      <c r="G46" s="571"/>
      <c r="H46" s="568"/>
      <c r="I46" s="565">
        <f t="shared" si="1"/>
        <v>83762</v>
      </c>
      <c r="J46" s="542" t="s">
        <v>1127</v>
      </c>
      <c r="K46" s="544" t="s">
        <v>813</v>
      </c>
      <c r="L46" s="253"/>
    </row>
    <row r="47" spans="1:12" ht="15">
      <c r="A47" s="586" t="s">
        <v>895</v>
      </c>
      <c r="B47" s="575" t="s">
        <v>49</v>
      </c>
      <c r="C47" s="575"/>
      <c r="D47" s="576">
        <f>621150/1.19</f>
        <v>521974.78991596639</v>
      </c>
      <c r="E47" s="570">
        <f>D47*(1+$E$4)</f>
        <v>621150</v>
      </c>
      <c r="F47" s="563">
        <f>+$F$4</f>
        <v>1.0161</v>
      </c>
      <c r="G47" s="571"/>
      <c r="H47" s="568"/>
      <c r="I47" s="565">
        <f>+ROUND(E47*F47,0)</f>
        <v>631151</v>
      </c>
      <c r="J47" s="542" t="s">
        <v>1084</v>
      </c>
      <c r="K47" s="544"/>
      <c r="L47" s="253"/>
    </row>
    <row r="48" spans="1:12">
      <c r="A48" s="586" t="s">
        <v>635</v>
      </c>
      <c r="B48" s="575" t="s">
        <v>49</v>
      </c>
      <c r="C48" s="575"/>
      <c r="D48" s="576">
        <f>9705/1.19</f>
        <v>8155.4621848739498</v>
      </c>
      <c r="E48" s="570">
        <f t="shared" si="4"/>
        <v>9705</v>
      </c>
      <c r="F48" s="563">
        <f t="shared" ref="F48:F63" si="6">+F$2</f>
        <v>1</v>
      </c>
      <c r="G48" s="571"/>
      <c r="H48" s="568"/>
      <c r="I48" s="565">
        <f t="shared" si="1"/>
        <v>9705</v>
      </c>
      <c r="J48" s="542" t="s">
        <v>994</v>
      </c>
      <c r="K48" s="543"/>
      <c r="L48" s="253"/>
    </row>
    <row r="49" spans="1:12">
      <c r="A49" s="586" t="s">
        <v>676</v>
      </c>
      <c r="B49" s="575" t="s">
        <v>643</v>
      </c>
      <c r="C49" s="575"/>
      <c r="D49" s="576">
        <f>266360/1.19</f>
        <v>223831.93277310926</v>
      </c>
      <c r="E49" s="570">
        <f t="shared" si="4"/>
        <v>266360</v>
      </c>
      <c r="F49" s="563">
        <v>1.0880000000000001</v>
      </c>
      <c r="G49" s="571"/>
      <c r="H49" s="568"/>
      <c r="I49" s="565">
        <f t="shared" si="1"/>
        <v>289800</v>
      </c>
      <c r="J49" s="542" t="s">
        <v>987</v>
      </c>
      <c r="K49" s="545" t="s">
        <v>1085</v>
      </c>
      <c r="L49" s="253"/>
    </row>
    <row r="50" spans="1:12">
      <c r="A50" s="586" t="s">
        <v>687</v>
      </c>
      <c r="B50" s="575" t="s">
        <v>643</v>
      </c>
      <c r="C50" s="575"/>
      <c r="D50" s="576">
        <f>266360/1.19</f>
        <v>223831.93277310926</v>
      </c>
      <c r="E50" s="570">
        <f t="shared" si="4"/>
        <v>266360</v>
      </c>
      <c r="F50" s="563">
        <v>1.0880000000000001</v>
      </c>
      <c r="G50" s="571"/>
      <c r="H50" s="568"/>
      <c r="I50" s="565">
        <f t="shared" si="1"/>
        <v>289800</v>
      </c>
      <c r="J50" s="542" t="s">
        <v>987</v>
      </c>
      <c r="K50" s="545" t="s">
        <v>1085</v>
      </c>
      <c r="L50" s="253"/>
    </row>
    <row r="51" spans="1:12">
      <c r="A51" s="587" t="s">
        <v>691</v>
      </c>
      <c r="B51" s="567" t="s">
        <v>604</v>
      </c>
      <c r="C51" s="568"/>
      <c r="D51" s="576">
        <f>37006/1.19</f>
        <v>31097.478991596639</v>
      </c>
      <c r="E51" s="570">
        <f t="shared" si="4"/>
        <v>37006</v>
      </c>
      <c r="F51" s="563">
        <f t="shared" si="6"/>
        <v>1</v>
      </c>
      <c r="G51" s="571"/>
      <c r="H51" s="568"/>
      <c r="I51" s="565">
        <f t="shared" si="1"/>
        <v>37006</v>
      </c>
      <c r="J51" s="542" t="s">
        <v>814</v>
      </c>
      <c r="K51" s="546" t="s">
        <v>975</v>
      </c>
      <c r="L51" s="253"/>
    </row>
    <row r="52" spans="1:12">
      <c r="A52" s="586" t="s">
        <v>626</v>
      </c>
      <c r="B52" s="575" t="s">
        <v>49</v>
      </c>
      <c r="C52" s="575"/>
      <c r="D52" s="576">
        <f>33540/1.19</f>
        <v>28184.873949579833</v>
      </c>
      <c r="E52" s="570">
        <f t="shared" si="4"/>
        <v>33540</v>
      </c>
      <c r="F52" s="563">
        <f t="shared" si="6"/>
        <v>1</v>
      </c>
      <c r="G52" s="571"/>
      <c r="H52" s="568"/>
      <c r="I52" s="565">
        <f t="shared" si="1"/>
        <v>33540</v>
      </c>
      <c r="J52" s="542" t="s">
        <v>814</v>
      </c>
      <c r="K52" s="546" t="s">
        <v>976</v>
      </c>
      <c r="L52" s="253"/>
    </row>
    <row r="53" spans="1:12">
      <c r="A53" s="488" t="s">
        <v>641</v>
      </c>
      <c r="B53" s="575" t="s">
        <v>49</v>
      </c>
      <c r="C53" s="575"/>
      <c r="D53" s="576">
        <f>108737/1.19</f>
        <v>91375.630252100847</v>
      </c>
      <c r="E53" s="570">
        <f t="shared" si="4"/>
        <v>108737</v>
      </c>
      <c r="F53" s="563">
        <f t="shared" si="6"/>
        <v>1</v>
      </c>
      <c r="G53" s="571"/>
      <c r="H53" s="568"/>
      <c r="I53" s="565">
        <f t="shared" si="1"/>
        <v>108737</v>
      </c>
      <c r="J53" s="542" t="s">
        <v>977</v>
      </c>
      <c r="K53" s="543"/>
      <c r="L53" s="253"/>
    </row>
    <row r="54" spans="1:12">
      <c r="A54" s="488" t="s">
        <v>1092</v>
      </c>
      <c r="B54" s="575" t="s">
        <v>49</v>
      </c>
      <c r="C54" s="575"/>
      <c r="D54" s="576">
        <v>110000</v>
      </c>
      <c r="E54" s="570">
        <f t="shared" si="4"/>
        <v>130900</v>
      </c>
      <c r="F54" s="563">
        <f t="shared" si="6"/>
        <v>1</v>
      </c>
      <c r="G54" s="571"/>
      <c r="H54" s="568"/>
      <c r="I54" s="565">
        <f t="shared" si="1"/>
        <v>130900</v>
      </c>
      <c r="J54" s="542" t="s">
        <v>1083</v>
      </c>
      <c r="K54" s="543"/>
      <c r="L54" s="253"/>
    </row>
    <row r="55" spans="1:12">
      <c r="A55" s="488" t="s">
        <v>1102</v>
      </c>
      <c r="B55" s="575" t="s">
        <v>49</v>
      </c>
      <c r="C55" s="575"/>
      <c r="D55" s="576">
        <v>110000</v>
      </c>
      <c r="E55" s="570">
        <f>D55*(1+$E$4)</f>
        <v>130900</v>
      </c>
      <c r="F55" s="563">
        <f t="shared" si="6"/>
        <v>1</v>
      </c>
      <c r="G55" s="571"/>
      <c r="H55" s="568"/>
      <c r="I55" s="565">
        <f>+ROUND(E55*F55,0)</f>
        <v>130900</v>
      </c>
      <c r="J55" s="542" t="s">
        <v>1083</v>
      </c>
      <c r="K55" s="543"/>
      <c r="L55" s="253"/>
    </row>
    <row r="56" spans="1:12">
      <c r="A56" s="493" t="s">
        <v>736</v>
      </c>
      <c r="B56" s="567" t="s">
        <v>8</v>
      </c>
      <c r="C56" s="568"/>
      <c r="D56" s="576">
        <v>100000</v>
      </c>
      <c r="E56" s="570">
        <f t="shared" si="4"/>
        <v>119000</v>
      </c>
      <c r="F56" s="563">
        <f t="shared" si="6"/>
        <v>1</v>
      </c>
      <c r="G56" s="571"/>
      <c r="H56" s="568"/>
      <c r="I56" s="565">
        <f t="shared" si="1"/>
        <v>119000</v>
      </c>
      <c r="J56" s="542" t="s">
        <v>1083</v>
      </c>
      <c r="K56" s="543"/>
      <c r="L56" s="253"/>
    </row>
    <row r="57" spans="1:12">
      <c r="A57" s="493" t="s">
        <v>698</v>
      </c>
      <c r="B57" s="590" t="s">
        <v>8</v>
      </c>
      <c r="C57" s="591"/>
      <c r="D57" s="592">
        <v>4957</v>
      </c>
      <c r="E57" s="593">
        <f t="shared" si="4"/>
        <v>5898.83</v>
      </c>
      <c r="F57" s="563">
        <f t="shared" si="6"/>
        <v>1</v>
      </c>
      <c r="G57" s="594"/>
      <c r="H57" s="591"/>
      <c r="I57" s="565">
        <f t="shared" si="1"/>
        <v>5899</v>
      </c>
      <c r="J57" s="542" t="s">
        <v>814</v>
      </c>
      <c r="K57" s="543"/>
      <c r="L57" s="253"/>
    </row>
    <row r="58" spans="1:12">
      <c r="A58" s="488" t="s">
        <v>650</v>
      </c>
      <c r="B58" s="588" t="s">
        <v>643</v>
      </c>
      <c r="C58" s="588"/>
      <c r="D58" s="589">
        <f>(12466/1.19)*1.0318*1.038*1.0161</f>
        <v>11400.121752018353</v>
      </c>
      <c r="E58" s="593">
        <f t="shared" si="4"/>
        <v>13566.14488490184</v>
      </c>
      <c r="F58" s="563">
        <f t="shared" si="6"/>
        <v>1</v>
      </c>
      <c r="G58" s="594"/>
      <c r="H58" s="591"/>
      <c r="I58" s="565">
        <f t="shared" si="1"/>
        <v>13566</v>
      </c>
      <c r="J58" s="542" t="s">
        <v>987</v>
      </c>
      <c r="K58" s="546" t="s">
        <v>986</v>
      </c>
      <c r="L58" s="253"/>
    </row>
    <row r="59" spans="1:12" ht="15">
      <c r="A59" s="488" t="s">
        <v>742</v>
      </c>
      <c r="B59" s="590" t="s">
        <v>8</v>
      </c>
      <c r="C59" s="591"/>
      <c r="D59" s="592">
        <f>16824/1.19</f>
        <v>14137.81512605042</v>
      </c>
      <c r="E59" s="593">
        <f t="shared" si="4"/>
        <v>16824</v>
      </c>
      <c r="F59" s="563">
        <f t="shared" si="6"/>
        <v>1</v>
      </c>
      <c r="G59" s="594"/>
      <c r="H59" s="591"/>
      <c r="I59" s="565">
        <f t="shared" si="1"/>
        <v>16824</v>
      </c>
      <c r="J59" s="542" t="s">
        <v>814</v>
      </c>
      <c r="K59" s="544" t="s">
        <v>990</v>
      </c>
      <c r="L59" s="253"/>
    </row>
    <row r="60" spans="1:12">
      <c r="A60" s="493" t="s">
        <v>743</v>
      </c>
      <c r="B60" s="590" t="s">
        <v>8</v>
      </c>
      <c r="C60" s="591"/>
      <c r="D60" s="592">
        <v>3403</v>
      </c>
      <c r="E60" s="593">
        <f t="shared" si="4"/>
        <v>4049.5699999999997</v>
      </c>
      <c r="F60" s="563">
        <f t="shared" si="6"/>
        <v>1</v>
      </c>
      <c r="G60" s="594"/>
      <c r="H60" s="591"/>
      <c r="I60" s="565">
        <f t="shared" si="1"/>
        <v>4050</v>
      </c>
      <c r="J60" s="542" t="s">
        <v>814</v>
      </c>
      <c r="K60" s="543"/>
      <c r="L60" s="253"/>
    </row>
    <row r="61" spans="1:12">
      <c r="A61" s="493" t="s">
        <v>707</v>
      </c>
      <c r="B61" s="590" t="s">
        <v>8</v>
      </c>
      <c r="C61" s="591"/>
      <c r="D61" s="576">
        <f>6927/1.19</f>
        <v>5821.0084033613448</v>
      </c>
      <c r="E61" s="593">
        <f t="shared" si="4"/>
        <v>6927</v>
      </c>
      <c r="F61" s="563">
        <f t="shared" si="6"/>
        <v>1</v>
      </c>
      <c r="G61" s="594"/>
      <c r="H61" s="591"/>
      <c r="I61" s="565">
        <f t="shared" si="1"/>
        <v>6927</v>
      </c>
      <c r="J61" s="542" t="s">
        <v>814</v>
      </c>
      <c r="K61" s="546" t="s">
        <v>978</v>
      </c>
      <c r="L61" s="253"/>
    </row>
    <row r="62" spans="1:12">
      <c r="A62" s="595" t="s">
        <v>763</v>
      </c>
      <c r="B62" s="596" t="s">
        <v>8</v>
      </c>
      <c r="C62" s="597"/>
      <c r="D62" s="576">
        <f>18044/1.19</f>
        <v>15163.025210084033</v>
      </c>
      <c r="E62" s="598">
        <f t="shared" si="4"/>
        <v>18044</v>
      </c>
      <c r="F62" s="563">
        <f t="shared" si="6"/>
        <v>1</v>
      </c>
      <c r="G62" s="571"/>
      <c r="H62" s="568"/>
      <c r="I62" s="565">
        <f t="shared" si="1"/>
        <v>18044</v>
      </c>
      <c r="J62" s="542" t="s">
        <v>977</v>
      </c>
      <c r="K62" s="546" t="s">
        <v>979</v>
      </c>
      <c r="L62" s="253"/>
    </row>
    <row r="63" spans="1:12">
      <c r="A63" s="595" t="s">
        <v>692</v>
      </c>
      <c r="B63" s="596" t="s">
        <v>8</v>
      </c>
      <c r="C63" s="597"/>
      <c r="D63" s="576">
        <f>38052/1.19</f>
        <v>31976.470588235297</v>
      </c>
      <c r="E63" s="598">
        <f t="shared" si="4"/>
        <v>38052</v>
      </c>
      <c r="F63" s="563">
        <f t="shared" si="6"/>
        <v>1</v>
      </c>
      <c r="G63" s="571"/>
      <c r="H63" s="568"/>
      <c r="I63" s="565">
        <f t="shared" si="1"/>
        <v>38052</v>
      </c>
      <c r="J63" s="542" t="s">
        <v>977</v>
      </c>
      <c r="K63" s="546" t="s">
        <v>980</v>
      </c>
      <c r="L63" s="253"/>
    </row>
    <row r="64" spans="1:12" ht="15">
      <c r="A64" s="599" t="s">
        <v>634</v>
      </c>
      <c r="B64" s="600" t="s">
        <v>645</v>
      </c>
      <c r="C64" s="600"/>
      <c r="D64" s="576">
        <f>48790/1.19</f>
        <v>41000</v>
      </c>
      <c r="E64" s="598">
        <f t="shared" si="4"/>
        <v>48790</v>
      </c>
      <c r="F64" s="563">
        <f>+$F$4</f>
        <v>1.0161</v>
      </c>
      <c r="G64" s="571"/>
      <c r="H64" s="568"/>
      <c r="I64" s="565">
        <f t="shared" si="1"/>
        <v>49576</v>
      </c>
      <c r="J64" s="542" t="s">
        <v>1127</v>
      </c>
      <c r="K64" s="544" t="s">
        <v>981</v>
      </c>
      <c r="L64" s="253"/>
    </row>
    <row r="65" spans="1:12">
      <c r="A65" s="595" t="s">
        <v>706</v>
      </c>
      <c r="B65" s="596" t="s">
        <v>8</v>
      </c>
      <c r="C65" s="597"/>
      <c r="D65" s="601">
        <f>2074/1.19</f>
        <v>1742.8571428571429</v>
      </c>
      <c r="E65" s="598">
        <f t="shared" si="4"/>
        <v>2074</v>
      </c>
      <c r="F65" s="563">
        <f t="shared" ref="F65:F71" si="7">+F$2</f>
        <v>1</v>
      </c>
      <c r="G65" s="571"/>
      <c r="H65" s="568"/>
      <c r="I65" s="565">
        <f t="shared" si="1"/>
        <v>2074</v>
      </c>
      <c r="J65" s="542" t="s">
        <v>977</v>
      </c>
      <c r="K65" s="543"/>
      <c r="L65" s="253"/>
    </row>
    <row r="66" spans="1:12">
      <c r="A66" s="595" t="s">
        <v>746</v>
      </c>
      <c r="B66" s="596" t="s">
        <v>8</v>
      </c>
      <c r="C66" s="597"/>
      <c r="D66" s="601">
        <v>462</v>
      </c>
      <c r="E66" s="598">
        <f t="shared" si="4"/>
        <v>549.78</v>
      </c>
      <c r="F66" s="563">
        <f t="shared" si="7"/>
        <v>1</v>
      </c>
      <c r="G66" s="571"/>
      <c r="H66" s="568"/>
      <c r="I66" s="565">
        <f t="shared" si="1"/>
        <v>550</v>
      </c>
      <c r="J66" s="542" t="s">
        <v>814</v>
      </c>
      <c r="K66" s="543"/>
      <c r="L66" s="253"/>
    </row>
    <row r="67" spans="1:12">
      <c r="A67" s="602" t="s">
        <v>619</v>
      </c>
      <c r="B67" s="600" t="s">
        <v>49</v>
      </c>
      <c r="C67" s="600"/>
      <c r="D67" s="603">
        <v>336</v>
      </c>
      <c r="E67" s="598">
        <f t="shared" si="4"/>
        <v>399.84</v>
      </c>
      <c r="F67" s="563">
        <f t="shared" si="7"/>
        <v>1</v>
      </c>
      <c r="G67" s="571"/>
      <c r="H67" s="568"/>
      <c r="I67" s="565">
        <f t="shared" si="1"/>
        <v>400</v>
      </c>
      <c r="J67" s="542" t="s">
        <v>814</v>
      </c>
      <c r="K67" s="543"/>
      <c r="L67" s="253"/>
    </row>
    <row r="68" spans="1:12">
      <c r="A68" s="602" t="s">
        <v>715</v>
      </c>
      <c r="B68" s="600" t="s">
        <v>643</v>
      </c>
      <c r="C68" s="600"/>
      <c r="D68" s="603">
        <f>60000/1.19</f>
        <v>50420.168067226892</v>
      </c>
      <c r="E68" s="598">
        <f t="shared" si="4"/>
        <v>60000</v>
      </c>
      <c r="F68" s="563">
        <f t="shared" si="7"/>
        <v>1</v>
      </c>
      <c r="G68" s="571"/>
      <c r="H68" s="568"/>
      <c r="I68" s="565">
        <f t="shared" si="1"/>
        <v>60000</v>
      </c>
      <c r="J68" s="542" t="s">
        <v>983</v>
      </c>
      <c r="K68" s="547" t="s">
        <v>982</v>
      </c>
      <c r="L68" s="253"/>
    </row>
    <row r="69" spans="1:12">
      <c r="A69" s="595" t="s">
        <v>747</v>
      </c>
      <c r="B69" s="596" t="s">
        <v>8</v>
      </c>
      <c r="C69" s="597"/>
      <c r="D69" s="601">
        <f>220000/1.19</f>
        <v>184873.94957983194</v>
      </c>
      <c r="E69" s="598">
        <f t="shared" ref="E69:E99" si="8">D69*(1+$E$4)</f>
        <v>220000</v>
      </c>
      <c r="F69" s="563">
        <f t="shared" si="7"/>
        <v>1</v>
      </c>
      <c r="G69" s="571"/>
      <c r="H69" s="568"/>
      <c r="I69" s="565">
        <f t="shared" si="1"/>
        <v>220000</v>
      </c>
      <c r="J69" s="542" t="s">
        <v>994</v>
      </c>
      <c r="K69" s="543"/>
      <c r="L69" s="253"/>
    </row>
    <row r="70" spans="1:12">
      <c r="A70" s="492" t="s">
        <v>1086</v>
      </c>
      <c r="B70" s="596" t="s">
        <v>8</v>
      </c>
      <c r="C70" s="597"/>
      <c r="D70" s="601">
        <f>576412/1.19</f>
        <v>484379.83193277312</v>
      </c>
      <c r="E70" s="598">
        <f t="shared" si="8"/>
        <v>576412</v>
      </c>
      <c r="F70" s="563">
        <f t="shared" si="7"/>
        <v>1</v>
      </c>
      <c r="G70" s="571"/>
      <c r="H70" s="568"/>
      <c r="I70" s="565">
        <f t="shared" si="1"/>
        <v>576412</v>
      </c>
      <c r="J70" s="542" t="s">
        <v>814</v>
      </c>
      <c r="K70" s="543"/>
      <c r="L70" s="253"/>
    </row>
    <row r="71" spans="1:12">
      <c r="A71" s="337" t="s">
        <v>663</v>
      </c>
      <c r="B71" s="600" t="s">
        <v>49</v>
      </c>
      <c r="C71" s="600"/>
      <c r="D71" s="603">
        <v>500000</v>
      </c>
      <c r="E71" s="598">
        <f t="shared" si="8"/>
        <v>595000</v>
      </c>
      <c r="F71" s="563">
        <f t="shared" si="7"/>
        <v>1</v>
      </c>
      <c r="G71" s="571"/>
      <c r="H71" s="568"/>
      <c r="I71" s="565">
        <f t="shared" si="1"/>
        <v>595000</v>
      </c>
      <c r="J71" s="542"/>
      <c r="K71" s="543"/>
      <c r="L71" s="253"/>
    </row>
    <row r="72" spans="1:12">
      <c r="A72" s="493" t="s">
        <v>804</v>
      </c>
      <c r="B72" s="596" t="s">
        <v>8</v>
      </c>
      <c r="C72" s="597"/>
      <c r="D72" s="601">
        <v>482914</v>
      </c>
      <c r="E72" s="598">
        <f t="shared" si="8"/>
        <v>574667.65999999992</v>
      </c>
      <c r="F72" s="563">
        <f>+$F$4</f>
        <v>1.0161</v>
      </c>
      <c r="G72" s="571"/>
      <c r="H72" s="568"/>
      <c r="I72" s="565">
        <f t="shared" ref="I72:I129" si="9">+ROUND(E72*F72,0)</f>
        <v>583920</v>
      </c>
      <c r="J72" s="542" t="s">
        <v>1127</v>
      </c>
      <c r="K72" s="546" t="s">
        <v>803</v>
      </c>
      <c r="L72" s="253"/>
    </row>
    <row r="73" spans="1:12">
      <c r="A73" s="493" t="s">
        <v>733</v>
      </c>
      <c r="B73" s="596" t="s">
        <v>8</v>
      </c>
      <c r="C73" s="597"/>
      <c r="D73" s="601">
        <f>70857/1.19</f>
        <v>59543.697478991598</v>
      </c>
      <c r="E73" s="598">
        <f t="shared" si="8"/>
        <v>70857</v>
      </c>
      <c r="F73" s="563">
        <f>+F$2</f>
        <v>1</v>
      </c>
      <c r="G73" s="571"/>
      <c r="H73" s="568"/>
      <c r="I73" s="565">
        <f t="shared" si="9"/>
        <v>70857</v>
      </c>
      <c r="J73" s="542" t="s">
        <v>983</v>
      </c>
      <c r="K73" s="546" t="s">
        <v>984</v>
      </c>
      <c r="L73" s="253"/>
    </row>
    <row r="74" spans="1:12">
      <c r="A74" s="493" t="s">
        <v>734</v>
      </c>
      <c r="B74" s="596" t="s">
        <v>644</v>
      </c>
      <c r="C74" s="597"/>
      <c r="D74" s="601">
        <f>16000/1.19</f>
        <v>13445.378151260506</v>
      </c>
      <c r="E74" s="598">
        <f t="shared" si="8"/>
        <v>16000</v>
      </c>
      <c r="F74" s="563">
        <f>+F$2</f>
        <v>1</v>
      </c>
      <c r="G74" s="571"/>
      <c r="H74" s="568"/>
      <c r="I74" s="565">
        <f t="shared" si="9"/>
        <v>16000</v>
      </c>
      <c r="J74" s="542" t="s">
        <v>983</v>
      </c>
      <c r="K74" s="546" t="s">
        <v>985</v>
      </c>
      <c r="L74" s="253"/>
    </row>
    <row r="75" spans="1:12">
      <c r="A75" s="604" t="s">
        <v>751</v>
      </c>
      <c r="B75" s="605" t="s">
        <v>8</v>
      </c>
      <c r="C75" s="597"/>
      <c r="D75" s="606">
        <f>7762/1.19</f>
        <v>6522.6890756302528</v>
      </c>
      <c r="E75" s="598">
        <f t="shared" si="8"/>
        <v>7762</v>
      </c>
      <c r="F75" s="563">
        <f>+F$2</f>
        <v>1</v>
      </c>
      <c r="G75" s="607"/>
      <c r="H75" s="568"/>
      <c r="I75" s="565">
        <f t="shared" si="9"/>
        <v>7762</v>
      </c>
      <c r="J75" s="542" t="s">
        <v>977</v>
      </c>
      <c r="K75" s="543"/>
      <c r="L75" s="253"/>
    </row>
    <row r="76" spans="1:12">
      <c r="A76" s="493" t="s">
        <v>695</v>
      </c>
      <c r="B76" s="596" t="s">
        <v>8</v>
      </c>
      <c r="C76" s="597"/>
      <c r="D76" s="606">
        <f>5355/1.19</f>
        <v>4500</v>
      </c>
      <c r="E76" s="598">
        <f t="shared" si="8"/>
        <v>5355</v>
      </c>
      <c r="F76" s="563">
        <f>+F$2</f>
        <v>1</v>
      </c>
      <c r="G76" s="571"/>
      <c r="H76" s="568"/>
      <c r="I76" s="565">
        <f t="shared" si="9"/>
        <v>5355</v>
      </c>
      <c r="J76" s="542"/>
      <c r="K76" s="543"/>
      <c r="L76" s="253"/>
    </row>
    <row r="77" spans="1:12" ht="15">
      <c r="A77" s="488" t="s">
        <v>664</v>
      </c>
      <c r="B77" s="600" t="s">
        <v>49</v>
      </c>
      <c r="C77" s="600"/>
      <c r="D77" s="603">
        <v>510000</v>
      </c>
      <c r="E77" s="598">
        <f t="shared" si="8"/>
        <v>606900</v>
      </c>
      <c r="F77" s="563">
        <f t="shared" ref="F77:F86" si="10">+$F$4</f>
        <v>1.0161</v>
      </c>
      <c r="G77" s="571"/>
      <c r="H77" s="568"/>
      <c r="I77" s="565">
        <f t="shared" si="9"/>
        <v>616671</v>
      </c>
      <c r="J77" s="542" t="s">
        <v>1127</v>
      </c>
      <c r="K77" s="544" t="s">
        <v>806</v>
      </c>
      <c r="L77" s="253"/>
    </row>
    <row r="78" spans="1:12" ht="15">
      <c r="A78" s="602" t="s">
        <v>665</v>
      </c>
      <c r="B78" s="600" t="s">
        <v>49</v>
      </c>
      <c r="C78" s="600"/>
      <c r="D78" s="603">
        <v>607963</v>
      </c>
      <c r="E78" s="598">
        <f t="shared" si="8"/>
        <v>723475.97</v>
      </c>
      <c r="F78" s="563">
        <f t="shared" si="10"/>
        <v>1.0161</v>
      </c>
      <c r="G78" s="571"/>
      <c r="H78" s="568"/>
      <c r="I78" s="565">
        <f t="shared" si="9"/>
        <v>735124</v>
      </c>
      <c r="J78" s="542" t="s">
        <v>1127</v>
      </c>
      <c r="K78" s="544" t="s">
        <v>807</v>
      </c>
      <c r="L78" s="253"/>
    </row>
    <row r="79" spans="1:12" ht="15">
      <c r="A79" s="595" t="s">
        <v>709</v>
      </c>
      <c r="B79" s="596" t="s">
        <v>8</v>
      </c>
      <c r="C79" s="597"/>
      <c r="D79" s="601">
        <v>398782</v>
      </c>
      <c r="E79" s="598">
        <f t="shared" si="8"/>
        <v>474550.57999999996</v>
      </c>
      <c r="F79" s="563">
        <f t="shared" si="10"/>
        <v>1.0161</v>
      </c>
      <c r="G79" s="571"/>
      <c r="H79" s="568"/>
      <c r="I79" s="565">
        <f t="shared" si="9"/>
        <v>482191</v>
      </c>
      <c r="J79" s="542" t="s">
        <v>1127</v>
      </c>
      <c r="K79" s="544" t="s">
        <v>808</v>
      </c>
      <c r="L79" s="253"/>
    </row>
    <row r="80" spans="1:12" ht="15">
      <c r="A80" s="595" t="s">
        <v>738</v>
      </c>
      <c r="B80" s="596" t="s">
        <v>8</v>
      </c>
      <c r="C80" s="597"/>
      <c r="D80" s="601">
        <v>510840</v>
      </c>
      <c r="E80" s="598">
        <f t="shared" si="8"/>
        <v>607899.6</v>
      </c>
      <c r="F80" s="563">
        <f>+F$2</f>
        <v>1</v>
      </c>
      <c r="G80" s="571"/>
      <c r="H80" s="568"/>
      <c r="I80" s="565">
        <f t="shared" si="9"/>
        <v>607900</v>
      </c>
      <c r="J80" s="542" t="s">
        <v>1127</v>
      </c>
      <c r="K80" s="544" t="s">
        <v>809</v>
      </c>
      <c r="L80" s="253"/>
    </row>
    <row r="81" spans="1:12" ht="15">
      <c r="A81" s="595" t="s">
        <v>696</v>
      </c>
      <c r="B81" s="596" t="s">
        <v>8</v>
      </c>
      <c r="C81" s="597"/>
      <c r="D81" s="601">
        <v>779329</v>
      </c>
      <c r="E81" s="598">
        <f t="shared" si="8"/>
        <v>927401.51</v>
      </c>
      <c r="F81" s="563">
        <f t="shared" si="10"/>
        <v>1.0161</v>
      </c>
      <c r="G81" s="571"/>
      <c r="H81" s="568"/>
      <c r="I81" s="565">
        <f t="shared" si="9"/>
        <v>942333</v>
      </c>
      <c r="J81" s="542" t="s">
        <v>1127</v>
      </c>
      <c r="K81" s="544" t="s">
        <v>810</v>
      </c>
      <c r="L81" s="253"/>
    </row>
    <row r="82" spans="1:12">
      <c r="A82" s="602" t="s">
        <v>646</v>
      </c>
      <c r="B82" s="600" t="s">
        <v>49</v>
      </c>
      <c r="C82" s="600"/>
      <c r="D82" s="589">
        <f>(31624/1.19)*1.0318*1.038*1.0161</f>
        <v>28920.058582209884</v>
      </c>
      <c r="E82" s="598">
        <f t="shared" si="8"/>
        <v>34414.869712829757</v>
      </c>
      <c r="F82" s="563">
        <f>+F$2</f>
        <v>1</v>
      </c>
      <c r="G82" s="571"/>
      <c r="H82" s="568"/>
      <c r="I82" s="565">
        <f t="shared" si="9"/>
        <v>34415</v>
      </c>
      <c r="J82" s="542" t="s">
        <v>987</v>
      </c>
      <c r="K82" s="543" t="s">
        <v>988</v>
      </c>
      <c r="L82" s="253"/>
    </row>
    <row r="83" spans="1:12" ht="15">
      <c r="A83" s="602" t="s">
        <v>647</v>
      </c>
      <c r="B83" s="600" t="s">
        <v>648</v>
      </c>
      <c r="C83" s="600"/>
      <c r="D83" s="603">
        <v>83851</v>
      </c>
      <c r="E83" s="598">
        <f t="shared" si="8"/>
        <v>99782.69</v>
      </c>
      <c r="F83" s="563">
        <f t="shared" si="10"/>
        <v>1.0161</v>
      </c>
      <c r="G83" s="571"/>
      <c r="H83" s="568"/>
      <c r="I83" s="565">
        <f t="shared" si="9"/>
        <v>101389</v>
      </c>
      <c r="J83" s="542" t="s">
        <v>1127</v>
      </c>
      <c r="K83" s="544" t="s">
        <v>800</v>
      </c>
      <c r="L83" s="253"/>
    </row>
    <row r="84" spans="1:12" ht="15">
      <c r="A84" s="493" t="s">
        <v>740</v>
      </c>
      <c r="B84" s="596" t="s">
        <v>8</v>
      </c>
      <c r="C84" s="597"/>
      <c r="D84" s="603">
        <f>53583/1.19</f>
        <v>45027.731092436974</v>
      </c>
      <c r="E84" s="598">
        <f t="shared" si="8"/>
        <v>53583</v>
      </c>
      <c r="F84" s="563">
        <f t="shared" si="10"/>
        <v>1.0161</v>
      </c>
      <c r="G84" s="571"/>
      <c r="H84" s="568"/>
      <c r="I84" s="565">
        <f t="shared" si="9"/>
        <v>54446</v>
      </c>
      <c r="J84" s="542" t="s">
        <v>1127</v>
      </c>
      <c r="K84" s="544" t="s">
        <v>989</v>
      </c>
      <c r="L84" s="253"/>
    </row>
    <row r="85" spans="1:12" ht="15">
      <c r="A85" s="337" t="s">
        <v>674</v>
      </c>
      <c r="B85" s="600" t="s">
        <v>643</v>
      </c>
      <c r="C85" s="600"/>
      <c r="D85" s="603">
        <f>42840/1.19</f>
        <v>36000</v>
      </c>
      <c r="E85" s="598">
        <f t="shared" si="8"/>
        <v>42840</v>
      </c>
      <c r="F85" s="563">
        <f t="shared" si="10"/>
        <v>1.0161</v>
      </c>
      <c r="G85" s="571"/>
      <c r="H85" s="568"/>
      <c r="I85" s="565">
        <f t="shared" si="9"/>
        <v>43530</v>
      </c>
      <c r="J85" s="542" t="s">
        <v>1127</v>
      </c>
      <c r="K85" s="544" t="s">
        <v>991</v>
      </c>
      <c r="L85" s="253"/>
    </row>
    <row r="86" spans="1:12" ht="15">
      <c r="A86" s="337" t="s">
        <v>672</v>
      </c>
      <c r="B86" s="600" t="s">
        <v>643</v>
      </c>
      <c r="C86" s="600"/>
      <c r="D86" s="603">
        <v>38740</v>
      </c>
      <c r="E86" s="598">
        <f t="shared" si="8"/>
        <v>46100.6</v>
      </c>
      <c r="F86" s="563">
        <f t="shared" si="10"/>
        <v>1.0161</v>
      </c>
      <c r="G86" s="571"/>
      <c r="H86" s="568"/>
      <c r="I86" s="565">
        <f t="shared" si="9"/>
        <v>46843</v>
      </c>
      <c r="J86" s="542" t="s">
        <v>1127</v>
      </c>
      <c r="K86" s="544" t="s">
        <v>798</v>
      </c>
      <c r="L86" s="253"/>
    </row>
    <row r="87" spans="1:12" ht="15">
      <c r="A87" s="493" t="s">
        <v>765</v>
      </c>
      <c r="B87" s="596" t="s">
        <v>8</v>
      </c>
      <c r="C87" s="597"/>
      <c r="D87" s="601">
        <f>2388/1.19</f>
        <v>2006.7226890756303</v>
      </c>
      <c r="E87" s="598">
        <f t="shared" si="8"/>
        <v>2388</v>
      </c>
      <c r="F87" s="563">
        <f t="shared" ref="F87:F97" si="11">+F$2</f>
        <v>1</v>
      </c>
      <c r="G87" s="571"/>
      <c r="H87" s="568"/>
      <c r="I87" s="565">
        <f t="shared" si="9"/>
        <v>2388</v>
      </c>
      <c r="J87" s="542" t="s">
        <v>814</v>
      </c>
      <c r="K87" s="544" t="s">
        <v>992</v>
      </c>
      <c r="L87" s="253"/>
    </row>
    <row r="88" spans="1:12">
      <c r="A88" s="493" t="s">
        <v>693</v>
      </c>
      <c r="B88" s="596" t="s">
        <v>8</v>
      </c>
      <c r="C88" s="597"/>
      <c r="D88" s="601"/>
      <c r="E88" s="598">
        <f t="shared" si="8"/>
        <v>0</v>
      </c>
      <c r="F88" s="563">
        <f t="shared" si="11"/>
        <v>1</v>
      </c>
      <c r="G88" s="571"/>
      <c r="H88" s="568"/>
      <c r="I88" s="565">
        <f t="shared" si="9"/>
        <v>0</v>
      </c>
      <c r="J88" s="542"/>
      <c r="K88" s="543"/>
      <c r="L88" s="253"/>
    </row>
    <row r="89" spans="1:12">
      <c r="A89" s="493" t="s">
        <v>744</v>
      </c>
      <c r="B89" s="596" t="s">
        <v>8</v>
      </c>
      <c r="C89" s="597"/>
      <c r="D89" s="601">
        <f>2200/1.19</f>
        <v>1848.7394957983195</v>
      </c>
      <c r="E89" s="598">
        <f t="shared" si="8"/>
        <v>2200</v>
      </c>
      <c r="F89" s="563">
        <f t="shared" si="11"/>
        <v>1</v>
      </c>
      <c r="G89" s="571"/>
      <c r="H89" s="568"/>
      <c r="I89" s="565">
        <f t="shared" si="9"/>
        <v>2200</v>
      </c>
      <c r="J89" s="542" t="s">
        <v>814</v>
      </c>
      <c r="K89" s="543"/>
      <c r="L89" s="253"/>
    </row>
    <row r="90" spans="1:12">
      <c r="A90" s="488" t="s">
        <v>612</v>
      </c>
      <c r="B90" s="600" t="s">
        <v>49</v>
      </c>
      <c r="C90" s="600"/>
      <c r="D90" s="603">
        <f>273850/1.19</f>
        <v>230126.05042016809</v>
      </c>
      <c r="E90" s="598">
        <f t="shared" si="8"/>
        <v>273850</v>
      </c>
      <c r="F90" s="563">
        <f t="shared" si="11"/>
        <v>1</v>
      </c>
      <c r="G90" s="571"/>
      <c r="H90" s="568"/>
      <c r="I90" s="565">
        <f t="shared" si="9"/>
        <v>273850</v>
      </c>
      <c r="J90" s="542" t="s">
        <v>814</v>
      </c>
      <c r="K90" s="543"/>
      <c r="L90" s="253"/>
    </row>
    <row r="91" spans="1:12">
      <c r="A91" s="493" t="s">
        <v>700</v>
      </c>
      <c r="B91" s="596" t="s">
        <v>8</v>
      </c>
      <c r="C91" s="597"/>
      <c r="D91" s="601">
        <f>1700/1.19</f>
        <v>1428.5714285714287</v>
      </c>
      <c r="E91" s="598">
        <f t="shared" si="8"/>
        <v>1700</v>
      </c>
      <c r="F91" s="563">
        <f t="shared" si="11"/>
        <v>1</v>
      </c>
      <c r="G91" s="571"/>
      <c r="H91" s="568"/>
      <c r="I91" s="565">
        <f t="shared" si="9"/>
        <v>1700</v>
      </c>
      <c r="J91" s="542" t="s">
        <v>814</v>
      </c>
      <c r="K91" s="543"/>
      <c r="L91" s="253"/>
    </row>
    <row r="92" spans="1:12">
      <c r="A92" s="493" t="s">
        <v>699</v>
      </c>
      <c r="B92" s="596" t="s">
        <v>8</v>
      </c>
      <c r="C92" s="597"/>
      <c r="D92" s="601">
        <f>1600/1.19</f>
        <v>1344.5378151260504</v>
      </c>
      <c r="E92" s="598">
        <f t="shared" si="8"/>
        <v>1600</v>
      </c>
      <c r="F92" s="563">
        <f t="shared" si="11"/>
        <v>1</v>
      </c>
      <c r="G92" s="571"/>
      <c r="H92" s="568"/>
      <c r="I92" s="565">
        <f t="shared" si="9"/>
        <v>1600</v>
      </c>
      <c r="J92" s="542" t="s">
        <v>814</v>
      </c>
      <c r="K92" s="543"/>
      <c r="L92" s="253"/>
    </row>
    <row r="93" spans="1:12">
      <c r="A93" s="493" t="s">
        <v>753</v>
      </c>
      <c r="B93" s="596" t="s">
        <v>8</v>
      </c>
      <c r="C93" s="597"/>
      <c r="D93" s="601">
        <f>8750/1.19</f>
        <v>7352.9411764705883</v>
      </c>
      <c r="E93" s="598">
        <f t="shared" si="8"/>
        <v>8750</v>
      </c>
      <c r="F93" s="563">
        <f t="shared" si="11"/>
        <v>1</v>
      </c>
      <c r="G93" s="571"/>
      <c r="H93" s="568"/>
      <c r="I93" s="565">
        <f t="shared" si="9"/>
        <v>8750</v>
      </c>
      <c r="J93" s="542" t="s">
        <v>814</v>
      </c>
      <c r="K93" s="543"/>
      <c r="L93" s="253"/>
    </row>
    <row r="94" spans="1:12">
      <c r="A94" s="488" t="s">
        <v>658</v>
      </c>
      <c r="B94" s="600" t="s">
        <v>49</v>
      </c>
      <c r="C94" s="600"/>
      <c r="D94" s="603">
        <v>1000000</v>
      </c>
      <c r="E94" s="598">
        <f t="shared" si="8"/>
        <v>1190000</v>
      </c>
      <c r="F94" s="563">
        <f t="shared" si="11"/>
        <v>1</v>
      </c>
      <c r="G94" s="571"/>
      <c r="H94" s="568"/>
      <c r="I94" s="565">
        <f t="shared" si="9"/>
        <v>1190000</v>
      </c>
      <c r="J94" s="542" t="s">
        <v>1088</v>
      </c>
      <c r="K94" s="543"/>
      <c r="L94" s="253"/>
    </row>
    <row r="95" spans="1:12">
      <c r="A95" s="488" t="s">
        <v>662</v>
      </c>
      <c r="B95" s="600" t="s">
        <v>49</v>
      </c>
      <c r="C95" s="600"/>
      <c r="D95" s="603">
        <v>150000</v>
      </c>
      <c r="E95" s="598">
        <f t="shared" si="8"/>
        <v>178500</v>
      </c>
      <c r="F95" s="563">
        <f t="shared" si="11"/>
        <v>1</v>
      </c>
      <c r="G95" s="571"/>
      <c r="H95" s="568"/>
      <c r="I95" s="565">
        <f t="shared" si="9"/>
        <v>178500</v>
      </c>
      <c r="J95" s="542" t="s">
        <v>1088</v>
      </c>
      <c r="K95" s="543"/>
      <c r="L95" s="253"/>
    </row>
    <row r="96" spans="1:12">
      <c r="A96" s="488" t="s">
        <v>649</v>
      </c>
      <c r="B96" s="600" t="s">
        <v>642</v>
      </c>
      <c r="C96" s="600"/>
      <c r="D96" s="603">
        <f>32100/1.19</f>
        <v>26974.789915966387</v>
      </c>
      <c r="E96" s="598">
        <f t="shared" si="8"/>
        <v>32100</v>
      </c>
      <c r="F96" s="563">
        <f t="shared" si="11"/>
        <v>1</v>
      </c>
      <c r="G96" s="571"/>
      <c r="H96" s="568"/>
      <c r="I96" s="565">
        <f t="shared" si="9"/>
        <v>32100</v>
      </c>
      <c r="J96" s="542"/>
      <c r="K96" s="543"/>
      <c r="L96" s="253"/>
    </row>
    <row r="97" spans="1:12" ht="15">
      <c r="A97" s="488" t="s">
        <v>654</v>
      </c>
      <c r="B97" s="600" t="s">
        <v>642</v>
      </c>
      <c r="C97" s="600"/>
      <c r="D97" s="603">
        <f>545000/1.19</f>
        <v>457983.19327731093</v>
      </c>
      <c r="E97" s="598">
        <f t="shared" si="8"/>
        <v>545000</v>
      </c>
      <c r="F97" s="563">
        <f t="shared" si="11"/>
        <v>1</v>
      </c>
      <c r="G97" s="571"/>
      <c r="H97" s="568"/>
      <c r="I97" s="565">
        <f t="shared" si="9"/>
        <v>545000</v>
      </c>
      <c r="J97" s="542" t="s">
        <v>1084</v>
      </c>
      <c r="K97" s="544" t="s">
        <v>896</v>
      </c>
      <c r="L97" s="253"/>
    </row>
    <row r="98" spans="1:12">
      <c r="A98" s="488" t="s">
        <v>673</v>
      </c>
      <c r="B98" s="600" t="s">
        <v>642</v>
      </c>
      <c r="C98" s="600"/>
      <c r="D98" s="603">
        <v>187431</v>
      </c>
      <c r="E98" s="598">
        <f t="shared" si="8"/>
        <v>223042.88999999998</v>
      </c>
      <c r="F98" s="563">
        <f>+$F$4</f>
        <v>1.0161</v>
      </c>
      <c r="G98" s="571"/>
      <c r="H98" s="568"/>
      <c r="I98" s="565">
        <f t="shared" si="9"/>
        <v>226634</v>
      </c>
      <c r="J98" s="542" t="s">
        <v>1127</v>
      </c>
      <c r="K98" s="543"/>
      <c r="L98" s="253"/>
    </row>
    <row r="99" spans="1:12">
      <c r="A99" s="488" t="s">
        <v>653</v>
      </c>
      <c r="B99" s="600" t="s">
        <v>642</v>
      </c>
      <c r="C99" s="600"/>
      <c r="D99" s="603">
        <v>254843</v>
      </c>
      <c r="E99" s="598">
        <f t="shared" si="8"/>
        <v>303263.17</v>
      </c>
      <c r="F99" s="563">
        <f>+$F$4</f>
        <v>1.0161</v>
      </c>
      <c r="G99" s="571"/>
      <c r="H99" s="568"/>
      <c r="I99" s="565">
        <f t="shared" si="9"/>
        <v>308146</v>
      </c>
      <c r="J99" s="542" t="s">
        <v>1127</v>
      </c>
      <c r="K99" s="543"/>
      <c r="L99" s="253"/>
    </row>
    <row r="100" spans="1:12">
      <c r="A100" s="608" t="s">
        <v>694</v>
      </c>
      <c r="B100" s="596" t="s">
        <v>8</v>
      </c>
      <c r="C100" s="597"/>
      <c r="D100" s="601">
        <f>9500/1.19</f>
        <v>7983.1932773109247</v>
      </c>
      <c r="E100" s="598">
        <f t="shared" ref="E100:E106" si="12">D100*(1+$E$4)</f>
        <v>9500</v>
      </c>
      <c r="F100" s="563">
        <f>+F$2</f>
        <v>1</v>
      </c>
      <c r="G100" s="571"/>
      <c r="H100" s="568"/>
      <c r="I100" s="565">
        <f t="shared" si="9"/>
        <v>9500</v>
      </c>
      <c r="J100" s="542" t="s">
        <v>814</v>
      </c>
      <c r="K100" s="543"/>
      <c r="L100" s="253"/>
    </row>
    <row r="101" spans="1:12" ht="15">
      <c r="A101" s="609" t="s">
        <v>812</v>
      </c>
      <c r="B101" s="600" t="s">
        <v>49</v>
      </c>
      <c r="C101" s="600"/>
      <c r="D101" s="603">
        <v>122008</v>
      </c>
      <c r="E101" s="598">
        <f t="shared" si="12"/>
        <v>145189.51999999999</v>
      </c>
      <c r="F101" s="563">
        <f>+$F$4</f>
        <v>1.0161</v>
      </c>
      <c r="G101" s="571"/>
      <c r="H101" s="568"/>
      <c r="I101" s="565">
        <f t="shared" si="9"/>
        <v>147527</v>
      </c>
      <c r="J101" s="542" t="s">
        <v>1127</v>
      </c>
      <c r="K101" s="544" t="s">
        <v>811</v>
      </c>
      <c r="L101" s="253"/>
    </row>
    <row r="102" spans="1:12">
      <c r="A102" s="493" t="s">
        <v>705</v>
      </c>
      <c r="B102" s="596" t="s">
        <v>8</v>
      </c>
      <c r="C102" s="597"/>
      <c r="D102" s="601">
        <f>27900/1.19</f>
        <v>23445.378151260506</v>
      </c>
      <c r="E102" s="598">
        <f t="shared" si="12"/>
        <v>27900</v>
      </c>
      <c r="F102" s="563">
        <f>+F$2</f>
        <v>1</v>
      </c>
      <c r="G102" s="571"/>
      <c r="H102" s="568"/>
      <c r="I102" s="565">
        <f t="shared" si="9"/>
        <v>27900</v>
      </c>
      <c r="J102" s="542" t="s">
        <v>814</v>
      </c>
      <c r="K102" s="543"/>
      <c r="L102" s="253"/>
    </row>
    <row r="103" spans="1:12">
      <c r="A103" s="493" t="s">
        <v>710</v>
      </c>
      <c r="B103" s="596" t="s">
        <v>8</v>
      </c>
      <c r="C103" s="597"/>
      <c r="D103" s="601">
        <f>14087/1.19</f>
        <v>11837.81512605042</v>
      </c>
      <c r="E103" s="598">
        <f t="shared" si="12"/>
        <v>14087</v>
      </c>
      <c r="F103" s="563">
        <f>+F$2</f>
        <v>1</v>
      </c>
      <c r="G103" s="571"/>
      <c r="H103" s="568"/>
      <c r="I103" s="565">
        <f t="shared" si="9"/>
        <v>14087</v>
      </c>
      <c r="J103" s="542" t="s">
        <v>814</v>
      </c>
      <c r="K103" s="543"/>
      <c r="L103" s="253"/>
    </row>
    <row r="104" spans="1:12">
      <c r="A104" s="493" t="s">
        <v>827</v>
      </c>
      <c r="B104" s="596" t="s">
        <v>8</v>
      </c>
      <c r="C104" s="597"/>
      <c r="D104" s="601">
        <f>244296/1.19</f>
        <v>205290.75630252101</v>
      </c>
      <c r="E104" s="598">
        <f t="shared" si="12"/>
        <v>244296</v>
      </c>
      <c r="F104" s="563">
        <f>+F$2</f>
        <v>1</v>
      </c>
      <c r="G104" s="571"/>
      <c r="H104" s="568"/>
      <c r="I104" s="565">
        <f t="shared" si="9"/>
        <v>244296</v>
      </c>
      <c r="J104" s="542" t="s">
        <v>1128</v>
      </c>
      <c r="K104" s="548"/>
    </row>
    <row r="105" spans="1:12" ht="42.75">
      <c r="A105" s="486" t="s">
        <v>828</v>
      </c>
      <c r="B105" s="596" t="s">
        <v>8</v>
      </c>
      <c r="C105" s="597"/>
      <c r="D105" s="601">
        <v>3017028</v>
      </c>
      <c r="E105" s="598">
        <f t="shared" si="12"/>
        <v>3590263.32</v>
      </c>
      <c r="F105" s="563">
        <f>+F$2</f>
        <v>1</v>
      </c>
      <c r="G105" s="571"/>
      <c r="H105" s="568"/>
      <c r="I105" s="565">
        <f t="shared" si="9"/>
        <v>3590263</v>
      </c>
      <c r="J105" s="542" t="s">
        <v>1128</v>
      </c>
      <c r="K105" s="549" t="s">
        <v>827</v>
      </c>
    </row>
    <row r="106" spans="1:12" ht="57">
      <c r="A106" s="486" t="s">
        <v>829</v>
      </c>
      <c r="B106" s="596" t="s">
        <v>8</v>
      </c>
      <c r="C106" s="597"/>
      <c r="D106" s="601">
        <f>1018338/1.19</f>
        <v>855746.21848739497</v>
      </c>
      <c r="E106" s="598">
        <f t="shared" si="12"/>
        <v>1018338</v>
      </c>
      <c r="F106" s="563">
        <f>+F$2</f>
        <v>1</v>
      </c>
      <c r="G106" s="571"/>
      <c r="H106" s="568"/>
      <c r="I106" s="565">
        <f t="shared" si="9"/>
        <v>1018338</v>
      </c>
      <c r="J106" s="550"/>
      <c r="K106" s="548"/>
    </row>
    <row r="107" spans="1:12">
      <c r="A107" s="486" t="s">
        <v>946</v>
      </c>
      <c r="B107" s="596" t="s">
        <v>8</v>
      </c>
      <c r="C107" s="597"/>
      <c r="D107" s="601">
        <v>138579.83193277312</v>
      </c>
      <c r="E107" s="598">
        <f t="shared" ref="E107:E131" si="13">D107*(1+$E$4)</f>
        <v>164910</v>
      </c>
      <c r="F107" s="563">
        <f t="shared" ref="F107:F114" si="14">+$F$4</f>
        <v>1.0161</v>
      </c>
      <c r="G107" s="571"/>
      <c r="H107" s="568"/>
      <c r="I107" s="565">
        <f t="shared" si="9"/>
        <v>167565</v>
      </c>
      <c r="J107" s="542" t="s">
        <v>1127</v>
      </c>
      <c r="K107" s="548"/>
    </row>
    <row r="108" spans="1:12">
      <c r="A108" s="486" t="s">
        <v>947</v>
      </c>
      <c r="B108" s="596" t="s">
        <v>8</v>
      </c>
      <c r="C108" s="597"/>
      <c r="D108" s="601">
        <v>224056.30252100842</v>
      </c>
      <c r="E108" s="598">
        <f t="shared" si="13"/>
        <v>266627</v>
      </c>
      <c r="F108" s="563">
        <f t="shared" si="14"/>
        <v>1.0161</v>
      </c>
      <c r="G108" s="571"/>
      <c r="H108" s="568"/>
      <c r="I108" s="565">
        <f t="shared" si="9"/>
        <v>270920</v>
      </c>
      <c r="J108" s="542" t="s">
        <v>1127</v>
      </c>
      <c r="K108" s="548"/>
    </row>
    <row r="109" spans="1:12" ht="28.5">
      <c r="A109" s="486" t="s">
        <v>948</v>
      </c>
      <c r="B109" s="596" t="s">
        <v>8</v>
      </c>
      <c r="C109" s="597"/>
      <c r="D109" s="601">
        <v>243710.08403361344</v>
      </c>
      <c r="E109" s="598">
        <f t="shared" si="13"/>
        <v>290015</v>
      </c>
      <c r="F109" s="563">
        <f t="shared" si="14"/>
        <v>1.0161</v>
      </c>
      <c r="G109" s="571"/>
      <c r="H109" s="568"/>
      <c r="I109" s="565">
        <f t="shared" si="9"/>
        <v>294684</v>
      </c>
      <c r="J109" s="542" t="s">
        <v>1127</v>
      </c>
      <c r="K109" s="548"/>
    </row>
    <row r="110" spans="1:12" ht="28.5">
      <c r="A110" s="486" t="s">
        <v>949</v>
      </c>
      <c r="B110" s="596" t="s">
        <v>8</v>
      </c>
      <c r="C110" s="597"/>
      <c r="D110" s="601">
        <v>264852.10084033612</v>
      </c>
      <c r="E110" s="598">
        <f t="shared" si="13"/>
        <v>315173.99999999994</v>
      </c>
      <c r="F110" s="563">
        <f t="shared" si="14"/>
        <v>1.0161</v>
      </c>
      <c r="G110" s="571"/>
      <c r="H110" s="568"/>
      <c r="I110" s="565">
        <f t="shared" si="9"/>
        <v>320248</v>
      </c>
      <c r="J110" s="542" t="s">
        <v>1127</v>
      </c>
      <c r="K110" s="548"/>
    </row>
    <row r="111" spans="1:12" ht="28.5">
      <c r="A111" s="486" t="s">
        <v>950</v>
      </c>
      <c r="B111" s="596" t="s">
        <v>8</v>
      </c>
      <c r="C111" s="597"/>
      <c r="D111" s="601">
        <v>286879.83193277312</v>
      </c>
      <c r="E111" s="598">
        <f t="shared" si="13"/>
        <v>341387</v>
      </c>
      <c r="F111" s="563">
        <f t="shared" si="14"/>
        <v>1.0161</v>
      </c>
      <c r="G111" s="571"/>
      <c r="H111" s="568"/>
      <c r="I111" s="565">
        <f t="shared" si="9"/>
        <v>346883</v>
      </c>
      <c r="J111" s="542" t="s">
        <v>1127</v>
      </c>
      <c r="K111" s="548"/>
    </row>
    <row r="112" spans="1:12">
      <c r="A112" s="486" t="s">
        <v>951</v>
      </c>
      <c r="B112" s="596" t="s">
        <v>8</v>
      </c>
      <c r="C112" s="597"/>
      <c r="D112" s="601">
        <v>141626.05042016806</v>
      </c>
      <c r="E112" s="598">
        <f t="shared" si="13"/>
        <v>168534.99999999997</v>
      </c>
      <c r="F112" s="563">
        <f t="shared" si="14"/>
        <v>1.0161</v>
      </c>
      <c r="G112" s="571"/>
      <c r="H112" s="568"/>
      <c r="I112" s="565">
        <f t="shared" si="9"/>
        <v>171248</v>
      </c>
      <c r="J112" s="542" t="s">
        <v>1127</v>
      </c>
      <c r="K112" s="548"/>
    </row>
    <row r="113" spans="1:11">
      <c r="A113" s="486" t="s">
        <v>952</v>
      </c>
      <c r="B113" s="596" t="s">
        <v>8</v>
      </c>
      <c r="C113" s="597"/>
      <c r="D113" s="601">
        <v>179956.30252100842</v>
      </c>
      <c r="E113" s="598">
        <f t="shared" si="13"/>
        <v>214148</v>
      </c>
      <c r="F113" s="563">
        <f t="shared" si="14"/>
        <v>1.0161</v>
      </c>
      <c r="G113" s="571"/>
      <c r="H113" s="568"/>
      <c r="I113" s="565">
        <f t="shared" si="9"/>
        <v>217596</v>
      </c>
      <c r="J113" s="542" t="s">
        <v>1127</v>
      </c>
      <c r="K113" s="548"/>
    </row>
    <row r="114" spans="1:11">
      <c r="A114" s="486" t="s">
        <v>953</v>
      </c>
      <c r="B114" s="596" t="s">
        <v>8</v>
      </c>
      <c r="C114" s="597"/>
      <c r="D114" s="601">
        <v>285753.78151260503</v>
      </c>
      <c r="E114" s="598">
        <f t="shared" si="13"/>
        <v>340046.99999999994</v>
      </c>
      <c r="F114" s="563">
        <f t="shared" si="14"/>
        <v>1.0161</v>
      </c>
      <c r="G114" s="571"/>
      <c r="H114" s="568"/>
      <c r="I114" s="565">
        <f t="shared" si="9"/>
        <v>345522</v>
      </c>
      <c r="J114" s="542" t="s">
        <v>1127</v>
      </c>
      <c r="K114" s="548"/>
    </row>
    <row r="115" spans="1:11" ht="29.25" customHeight="1">
      <c r="A115" s="486" t="s">
        <v>955</v>
      </c>
      <c r="B115" s="596" t="s">
        <v>18</v>
      </c>
      <c r="C115" s="597"/>
      <c r="D115" s="601">
        <v>131084.87394957984</v>
      </c>
      <c r="E115" s="598">
        <f t="shared" si="13"/>
        <v>155991</v>
      </c>
      <c r="F115" s="563">
        <f t="shared" ref="F115:F132" si="15">+F$2</f>
        <v>1</v>
      </c>
      <c r="G115" s="571"/>
      <c r="H115" s="568"/>
      <c r="I115" s="565">
        <f t="shared" si="9"/>
        <v>155991</v>
      </c>
      <c r="J115" s="542" t="s">
        <v>1128</v>
      </c>
      <c r="K115" s="548"/>
    </row>
    <row r="116" spans="1:11" ht="57">
      <c r="A116" s="486" t="s">
        <v>956</v>
      </c>
      <c r="B116" s="596"/>
      <c r="C116" s="597"/>
      <c r="D116" s="601">
        <f>1249981/1.19</f>
        <v>1050404.2016806724</v>
      </c>
      <c r="E116" s="598">
        <f t="shared" si="13"/>
        <v>1249981</v>
      </c>
      <c r="F116" s="563">
        <f t="shared" si="15"/>
        <v>1</v>
      </c>
      <c r="G116" s="571"/>
      <c r="H116" s="568"/>
      <c r="I116" s="565">
        <f t="shared" si="9"/>
        <v>1249981</v>
      </c>
      <c r="J116" s="542" t="s">
        <v>1128</v>
      </c>
      <c r="K116" s="548"/>
    </row>
    <row r="117" spans="1:11" ht="57">
      <c r="A117" s="486" t="s">
        <v>957</v>
      </c>
      <c r="B117" s="596"/>
      <c r="C117" s="597"/>
      <c r="D117" s="601">
        <f>428963/1.19</f>
        <v>360473.10924369749</v>
      </c>
      <c r="E117" s="598">
        <f t="shared" si="13"/>
        <v>428963</v>
      </c>
      <c r="F117" s="563">
        <f t="shared" si="15"/>
        <v>1</v>
      </c>
      <c r="G117" s="571"/>
      <c r="H117" s="568"/>
      <c r="I117" s="565">
        <f t="shared" si="9"/>
        <v>428963</v>
      </c>
      <c r="J117" s="542" t="s">
        <v>1128</v>
      </c>
      <c r="K117" s="548"/>
    </row>
    <row r="118" spans="1:11" ht="42.75">
      <c r="A118" s="486" t="s">
        <v>828</v>
      </c>
      <c r="B118" s="596"/>
      <c r="C118" s="597"/>
      <c r="D118" s="601">
        <f>3017028/1.19</f>
        <v>2535317.6470588236</v>
      </c>
      <c r="E118" s="598">
        <f t="shared" si="13"/>
        <v>3017028</v>
      </c>
      <c r="F118" s="563">
        <f t="shared" si="15"/>
        <v>1</v>
      </c>
      <c r="G118" s="571"/>
      <c r="H118" s="568"/>
      <c r="I118" s="565">
        <f t="shared" si="9"/>
        <v>3017028</v>
      </c>
      <c r="J118" s="542" t="s">
        <v>1128</v>
      </c>
      <c r="K118" s="548"/>
    </row>
    <row r="119" spans="1:11" ht="57">
      <c r="A119" s="486" t="s">
        <v>958</v>
      </c>
      <c r="B119" s="596"/>
      <c r="C119" s="597"/>
      <c r="D119" s="601">
        <f>421243/1.19</f>
        <v>353985.71428571432</v>
      </c>
      <c r="E119" s="598">
        <f t="shared" si="13"/>
        <v>421243</v>
      </c>
      <c r="F119" s="563">
        <f t="shared" si="15"/>
        <v>1</v>
      </c>
      <c r="G119" s="571"/>
      <c r="H119" s="568"/>
      <c r="I119" s="565">
        <f t="shared" si="9"/>
        <v>421243</v>
      </c>
      <c r="J119" s="542" t="s">
        <v>1128</v>
      </c>
      <c r="K119" s="548"/>
    </row>
    <row r="120" spans="1:11" ht="28.5">
      <c r="A120" s="486" t="s">
        <v>827</v>
      </c>
      <c r="B120" s="596"/>
      <c r="C120" s="597"/>
      <c r="D120" s="601">
        <f>244296/1.19</f>
        <v>205290.75630252101</v>
      </c>
      <c r="E120" s="598">
        <f t="shared" si="13"/>
        <v>244296</v>
      </c>
      <c r="F120" s="563">
        <f t="shared" si="15"/>
        <v>1</v>
      </c>
      <c r="G120" s="571"/>
      <c r="H120" s="568"/>
      <c r="I120" s="565">
        <f t="shared" si="9"/>
        <v>244296</v>
      </c>
      <c r="J120" s="542" t="s">
        <v>1128</v>
      </c>
      <c r="K120" s="548"/>
    </row>
    <row r="121" spans="1:11" ht="28.5">
      <c r="A121" s="486" t="s">
        <v>959</v>
      </c>
      <c r="B121" s="596" t="s">
        <v>969</v>
      </c>
      <c r="C121" s="597"/>
      <c r="D121" s="601">
        <f>30892/1.19</f>
        <v>25959.663865546219</v>
      </c>
      <c r="E121" s="598">
        <f t="shared" si="13"/>
        <v>30892</v>
      </c>
      <c r="F121" s="563">
        <f t="shared" si="15"/>
        <v>1</v>
      </c>
      <c r="G121" s="571"/>
      <c r="H121" s="568"/>
      <c r="I121" s="565">
        <f t="shared" si="9"/>
        <v>30892</v>
      </c>
      <c r="J121" s="542" t="s">
        <v>1128</v>
      </c>
      <c r="K121" s="548"/>
    </row>
    <row r="122" spans="1:11" ht="42.75">
      <c r="A122" s="486" t="s">
        <v>966</v>
      </c>
      <c r="B122" s="596"/>
      <c r="C122" s="597"/>
      <c r="D122" s="601">
        <f>238570/1.19</f>
        <v>200478.99159663866</v>
      </c>
      <c r="E122" s="598">
        <f t="shared" si="13"/>
        <v>238570</v>
      </c>
      <c r="F122" s="563">
        <f t="shared" si="15"/>
        <v>1</v>
      </c>
      <c r="G122" s="571"/>
      <c r="H122" s="568"/>
      <c r="I122" s="565">
        <f t="shared" si="9"/>
        <v>238570</v>
      </c>
      <c r="J122" s="542" t="s">
        <v>1128</v>
      </c>
      <c r="K122" s="548"/>
    </row>
    <row r="123" spans="1:11" ht="42.75">
      <c r="A123" s="486" t="s">
        <v>967</v>
      </c>
      <c r="B123" s="596" t="s">
        <v>8</v>
      </c>
      <c r="C123" s="597"/>
      <c r="D123" s="601">
        <f>284256/1.19</f>
        <v>238870.58823529413</v>
      </c>
      <c r="E123" s="598">
        <f t="shared" si="13"/>
        <v>284256</v>
      </c>
      <c r="F123" s="563">
        <f t="shared" si="15"/>
        <v>1</v>
      </c>
      <c r="G123" s="571"/>
      <c r="H123" s="568"/>
      <c r="I123" s="565">
        <f t="shared" si="9"/>
        <v>284256</v>
      </c>
      <c r="J123" s="542" t="s">
        <v>1128</v>
      </c>
      <c r="K123" s="548"/>
    </row>
    <row r="124" spans="1:11" ht="28.5">
      <c r="A124" s="486" t="s">
        <v>968</v>
      </c>
      <c r="B124" s="596" t="s">
        <v>969</v>
      </c>
      <c r="C124" s="597"/>
      <c r="D124" s="601">
        <f>2645/1.19</f>
        <v>2222.6890756302523</v>
      </c>
      <c r="E124" s="598">
        <f t="shared" si="13"/>
        <v>2645</v>
      </c>
      <c r="F124" s="563">
        <f t="shared" si="15"/>
        <v>1</v>
      </c>
      <c r="G124" s="571"/>
      <c r="H124" s="568"/>
      <c r="I124" s="565">
        <f t="shared" si="9"/>
        <v>2645</v>
      </c>
      <c r="J124" s="542" t="s">
        <v>1128</v>
      </c>
      <c r="K124" s="548"/>
    </row>
    <row r="125" spans="1:11" ht="28.5">
      <c r="A125" s="486" t="s">
        <v>1104</v>
      </c>
      <c r="B125" s="596" t="s">
        <v>969</v>
      </c>
      <c r="C125" s="597"/>
      <c r="D125" s="601">
        <f>2645*3/1.19</f>
        <v>6668.0672268907565</v>
      </c>
      <c r="E125" s="598">
        <f t="shared" si="13"/>
        <v>7935</v>
      </c>
      <c r="F125" s="563">
        <f t="shared" si="15"/>
        <v>1</v>
      </c>
      <c r="G125" s="571"/>
      <c r="H125" s="568"/>
      <c r="I125" s="565">
        <f>+ROUND(E125*F125,0)</f>
        <v>7935</v>
      </c>
      <c r="J125" s="542" t="s">
        <v>1083</v>
      </c>
      <c r="K125" s="548"/>
    </row>
    <row r="126" spans="1:11" ht="28.5">
      <c r="A126" s="486" t="s">
        <v>1103</v>
      </c>
      <c r="B126" s="596" t="s">
        <v>969</v>
      </c>
      <c r="C126" s="597"/>
      <c r="D126" s="601">
        <f>2645*2/1.19</f>
        <v>4445.3781512605046</v>
      </c>
      <c r="E126" s="598">
        <f t="shared" si="13"/>
        <v>5290</v>
      </c>
      <c r="F126" s="563">
        <f t="shared" si="15"/>
        <v>1</v>
      </c>
      <c r="G126" s="571"/>
      <c r="H126" s="568"/>
      <c r="I126" s="565">
        <f>+ROUND(E126*F126,0)</f>
        <v>5290</v>
      </c>
      <c r="J126" s="542" t="s">
        <v>1083</v>
      </c>
      <c r="K126" s="548"/>
    </row>
    <row r="127" spans="1:11" ht="28.5">
      <c r="A127" s="486" t="s">
        <v>827</v>
      </c>
      <c r="B127" s="596" t="s">
        <v>8</v>
      </c>
      <c r="C127" s="597"/>
      <c r="D127" s="601">
        <f>244296/1.19</f>
        <v>205290.75630252101</v>
      </c>
      <c r="E127" s="598">
        <f t="shared" si="13"/>
        <v>244296</v>
      </c>
      <c r="F127" s="563">
        <f t="shared" si="15"/>
        <v>1</v>
      </c>
      <c r="G127" s="571"/>
      <c r="H127" s="568"/>
      <c r="I127" s="565">
        <f t="shared" si="9"/>
        <v>244296</v>
      </c>
      <c r="J127" s="542" t="s">
        <v>1128</v>
      </c>
      <c r="K127" s="548"/>
    </row>
    <row r="128" spans="1:11">
      <c r="A128" s="486" t="s">
        <v>970</v>
      </c>
      <c r="B128" s="596" t="s">
        <v>8</v>
      </c>
      <c r="C128" s="597"/>
      <c r="D128" s="601">
        <f>319722/1.19</f>
        <v>268673.94957983197</v>
      </c>
      <c r="E128" s="598">
        <f t="shared" si="13"/>
        <v>319722.00000000006</v>
      </c>
      <c r="F128" s="563">
        <f t="shared" si="15"/>
        <v>1</v>
      </c>
      <c r="G128" s="571"/>
      <c r="H128" s="568"/>
      <c r="I128" s="565">
        <f t="shared" si="9"/>
        <v>319722</v>
      </c>
      <c r="J128" s="542" t="s">
        <v>1128</v>
      </c>
      <c r="K128" s="548"/>
    </row>
    <row r="129" spans="1:11" ht="57">
      <c r="A129" s="486" t="s">
        <v>971</v>
      </c>
      <c r="B129" s="596" t="s">
        <v>972</v>
      </c>
      <c r="C129" s="597"/>
      <c r="D129" s="601">
        <f>515477/1.19</f>
        <v>433173.94957983197</v>
      </c>
      <c r="E129" s="598">
        <f t="shared" si="13"/>
        <v>515477</v>
      </c>
      <c r="F129" s="563">
        <f t="shared" si="15"/>
        <v>1</v>
      </c>
      <c r="G129" s="571"/>
      <c r="H129" s="568"/>
      <c r="I129" s="565">
        <f t="shared" si="9"/>
        <v>515477</v>
      </c>
      <c r="J129" s="542" t="s">
        <v>1128</v>
      </c>
      <c r="K129" s="548"/>
    </row>
    <row r="130" spans="1:11" ht="28.5">
      <c r="A130" s="486" t="s">
        <v>1093</v>
      </c>
      <c r="B130" s="596" t="s">
        <v>969</v>
      </c>
      <c r="C130" s="597"/>
      <c r="D130" s="601">
        <f>2645*3/1.19</f>
        <v>6668.0672268907565</v>
      </c>
      <c r="E130" s="598">
        <f t="shared" si="13"/>
        <v>7935</v>
      </c>
      <c r="F130" s="563">
        <f t="shared" si="15"/>
        <v>1</v>
      </c>
      <c r="G130" s="571"/>
      <c r="H130" s="568"/>
      <c r="I130" s="565">
        <f>+ROUND(E130*F130,0)</f>
        <v>7935</v>
      </c>
      <c r="J130" s="550" t="s">
        <v>1083</v>
      </c>
      <c r="K130" s="548"/>
    </row>
    <row r="131" spans="1:11">
      <c r="A131" s="486" t="s">
        <v>1107</v>
      </c>
      <c r="B131" s="596" t="s">
        <v>969</v>
      </c>
      <c r="C131" s="597"/>
      <c r="D131" s="601">
        <f>85167/1.19</f>
        <v>71568.907563025219</v>
      </c>
      <c r="E131" s="598">
        <f t="shared" si="13"/>
        <v>85167</v>
      </c>
      <c r="F131" s="563">
        <f t="shared" si="15"/>
        <v>1</v>
      </c>
      <c r="G131" s="571"/>
      <c r="H131" s="568"/>
      <c r="I131" s="565">
        <f>+ROUND(E131*F131,0)</f>
        <v>85167</v>
      </c>
      <c r="J131" s="542" t="s">
        <v>1128</v>
      </c>
      <c r="K131" s="548"/>
    </row>
    <row r="132" spans="1:11">
      <c r="A132" s="664" t="s">
        <v>1158</v>
      </c>
      <c r="B132" s="665" t="s">
        <v>969</v>
      </c>
      <c r="C132" s="666"/>
      <c r="D132" s="667">
        <v>20000</v>
      </c>
      <c r="E132" s="668">
        <f t="shared" ref="E132" si="16">D132*(1+$E$4)</f>
        <v>23800</v>
      </c>
      <c r="F132" s="669">
        <f t="shared" si="15"/>
        <v>1</v>
      </c>
      <c r="G132" s="670"/>
      <c r="H132" s="671"/>
      <c r="I132" s="672">
        <f>+ROUND(E132*F132,0)</f>
        <v>23800</v>
      </c>
      <c r="J132" s="673" t="s">
        <v>1083</v>
      </c>
      <c r="K132" s="548"/>
    </row>
  </sheetData>
  <sortState xmlns:xlrd2="http://schemas.microsoft.com/office/spreadsheetml/2017/richdata2" ref="A5:I108">
    <sortCondition ref="A5:A108"/>
  </sortState>
  <printOptions horizontalCentered="1"/>
  <pageMargins left="0.39370078740157483" right="0.39370078740157483" top="1.8897637795275593" bottom="0.23622047244094491" header="0.27559055118110237" footer="0.19685039370078741"/>
  <pageSetup scale="75" orientation="portrait" horizont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46"/>
  <sheetViews>
    <sheetView topLeftCell="A7" workbookViewId="0">
      <selection activeCell="A28" sqref="A28"/>
    </sheetView>
  </sheetViews>
  <sheetFormatPr baseColWidth="10" defaultRowHeight="14.25"/>
  <cols>
    <col min="2" max="2" width="21.75" bestFit="1" customWidth="1"/>
    <col min="3" max="3" width="16.625" bestFit="1" customWidth="1"/>
    <col min="4" max="4" width="10.125" bestFit="1" customWidth="1"/>
    <col min="5" max="5" width="10.125" style="377" bestFit="1" customWidth="1"/>
    <col min="6" max="6" width="12.625" bestFit="1" customWidth="1"/>
    <col min="7" max="7" width="15.375" bestFit="1" customWidth="1"/>
    <col min="8" max="8" width="12.625" bestFit="1" customWidth="1"/>
    <col min="9" max="9" width="23.125" customWidth="1"/>
    <col min="10" max="10" width="12.625" style="377" customWidth="1"/>
    <col min="11" max="11" width="14.625" bestFit="1" customWidth="1"/>
    <col min="13" max="13" width="10.125" bestFit="1" customWidth="1"/>
  </cols>
  <sheetData>
    <row r="2" spans="1:14" ht="15">
      <c r="B2" s="376" t="s">
        <v>826</v>
      </c>
      <c r="C2" s="376"/>
    </row>
    <row r="3" spans="1:14" ht="15">
      <c r="B3" s="376" t="s">
        <v>781</v>
      </c>
      <c r="C3" s="376"/>
      <c r="D3" s="376"/>
      <c r="E3" s="379"/>
      <c r="F3" s="376"/>
      <c r="G3" s="376"/>
      <c r="H3" s="376"/>
    </row>
    <row r="4" spans="1:14" ht="15">
      <c r="B4" s="410" t="s">
        <v>817</v>
      </c>
      <c r="C4" s="410">
        <v>908526</v>
      </c>
      <c r="D4" s="413"/>
      <c r="E4" s="411"/>
    </row>
    <row r="5" spans="1:14" ht="15">
      <c r="B5" s="410" t="s">
        <v>820</v>
      </c>
      <c r="C5" s="410">
        <v>106454</v>
      </c>
      <c r="D5" s="413"/>
      <c r="E5" s="411"/>
    </row>
    <row r="6" spans="1:14" ht="15">
      <c r="B6" s="389"/>
      <c r="C6" s="389"/>
      <c r="D6" s="389"/>
      <c r="E6" s="411"/>
      <c r="F6" s="389"/>
    </row>
    <row r="7" spans="1:14" ht="15">
      <c r="G7" s="378">
        <f>+F46</f>
        <v>0.53</v>
      </c>
    </row>
    <row r="8" spans="1:14" ht="15">
      <c r="A8" s="387" t="s">
        <v>771</v>
      </c>
      <c r="B8" s="383" t="s">
        <v>605</v>
      </c>
      <c r="C8" s="383" t="s">
        <v>818</v>
      </c>
      <c r="D8" s="383" t="s">
        <v>769</v>
      </c>
      <c r="E8" s="387" t="s">
        <v>821</v>
      </c>
      <c r="F8" s="383" t="s">
        <v>769</v>
      </c>
      <c r="G8" s="383" t="s">
        <v>770</v>
      </c>
      <c r="H8" s="383" t="s">
        <v>57</v>
      </c>
      <c r="I8" s="383" t="s">
        <v>771</v>
      </c>
      <c r="J8" s="387" t="s">
        <v>772</v>
      </c>
      <c r="K8" s="383" t="s">
        <v>773</v>
      </c>
    </row>
    <row r="9" spans="1:14" ht="15">
      <c r="A9" s="387">
        <v>1</v>
      </c>
      <c r="B9" s="383" t="s">
        <v>791</v>
      </c>
      <c r="C9" s="384">
        <v>3.5</v>
      </c>
      <c r="D9" s="380">
        <f>+$C$4*C9</f>
        <v>3179841</v>
      </c>
      <c r="E9" s="384"/>
      <c r="F9" s="380">
        <f>SUM(D9:E9)</f>
        <v>3179841</v>
      </c>
      <c r="G9" s="380">
        <f>+F9*G7</f>
        <v>1685315.73</v>
      </c>
      <c r="H9" s="380">
        <f>+F9+G9</f>
        <v>4865156.7300000004</v>
      </c>
      <c r="I9" s="384">
        <f>+A9</f>
        <v>1</v>
      </c>
      <c r="J9" s="381">
        <v>1</v>
      </c>
      <c r="K9" s="380">
        <f>+H9*I9*J9</f>
        <v>4865156.7300000004</v>
      </c>
    </row>
    <row r="10" spans="1:14" ht="15">
      <c r="A10" s="387">
        <v>1</v>
      </c>
      <c r="B10" s="383" t="s">
        <v>823</v>
      </c>
      <c r="C10" s="384">
        <v>2.5</v>
      </c>
      <c r="D10" s="380">
        <f>+$C$4*C10</f>
        <v>2271315</v>
      </c>
      <c r="E10" s="384"/>
      <c r="F10" s="380">
        <f>SUM(D10:E10)</f>
        <v>2271315</v>
      </c>
      <c r="G10" s="380">
        <f>+F10*G7</f>
        <v>1203796.95</v>
      </c>
      <c r="H10" s="380">
        <f>+F10+G10</f>
        <v>3475111.95</v>
      </c>
      <c r="I10" s="384">
        <f t="shared" ref="I10:I15" si="0">+A10</f>
        <v>1</v>
      </c>
      <c r="J10" s="381">
        <v>1</v>
      </c>
      <c r="K10" s="380">
        <f>+H10*I10*J10</f>
        <v>3475111.95</v>
      </c>
    </row>
    <row r="11" spans="1:14" ht="15">
      <c r="A11" s="387">
        <v>2</v>
      </c>
      <c r="B11" s="383" t="s">
        <v>824</v>
      </c>
      <c r="C11" s="384">
        <v>1.5</v>
      </c>
      <c r="D11" s="380">
        <f>+$C$4*C11</f>
        <v>1362789</v>
      </c>
      <c r="E11" s="390">
        <f>+$C$5</f>
        <v>106454</v>
      </c>
      <c r="F11" s="380">
        <f>SUM(D11:E11)</f>
        <v>1469243</v>
      </c>
      <c r="G11" s="380">
        <f>+F11*G7</f>
        <v>778698.79</v>
      </c>
      <c r="H11" s="380">
        <f>+F11+G11</f>
        <v>2247941.79</v>
      </c>
      <c r="I11" s="384">
        <f t="shared" si="0"/>
        <v>2</v>
      </c>
      <c r="J11" s="381">
        <v>1</v>
      </c>
      <c r="K11" s="380">
        <f>+H11*I11*J11</f>
        <v>4495883.58</v>
      </c>
    </row>
    <row r="12" spans="1:14" ht="15">
      <c r="A12" s="387">
        <v>1</v>
      </c>
      <c r="B12" s="417" t="s">
        <v>774</v>
      </c>
      <c r="C12" s="384">
        <v>1.5</v>
      </c>
      <c r="D12" s="380">
        <f>+$C$4*C12</f>
        <v>1362789</v>
      </c>
      <c r="E12" s="390">
        <f>+$C$5</f>
        <v>106454</v>
      </c>
      <c r="F12" s="380">
        <f>SUM(D12:E12)</f>
        <v>1469243</v>
      </c>
      <c r="G12" s="396">
        <f>+F12*G7</f>
        <v>778698.79</v>
      </c>
      <c r="H12" s="396">
        <f>+F12+G12</f>
        <v>2247941.79</v>
      </c>
      <c r="I12" s="384">
        <f t="shared" si="0"/>
        <v>1</v>
      </c>
      <c r="J12" s="397">
        <v>0.5</v>
      </c>
      <c r="K12" s="396">
        <f>+H12*I12*J12</f>
        <v>1123970.895</v>
      </c>
      <c r="M12" s="382"/>
    </row>
    <row r="13" spans="1:14" ht="15">
      <c r="A13" s="387">
        <v>2</v>
      </c>
      <c r="B13" s="383" t="s">
        <v>825</v>
      </c>
      <c r="C13" s="384">
        <v>1</v>
      </c>
      <c r="D13" s="380">
        <f>+$C$4*C13</f>
        <v>908526</v>
      </c>
      <c r="E13" s="390">
        <f>+$C$5</f>
        <v>106454</v>
      </c>
      <c r="F13" s="380">
        <f>SUM(D13:E13)</f>
        <v>1014980</v>
      </c>
      <c r="G13" s="380">
        <f>+F13*G7</f>
        <v>537939.4</v>
      </c>
      <c r="H13" s="380">
        <f>+F13+G13</f>
        <v>1552919.4</v>
      </c>
      <c r="I13" s="384">
        <v>3</v>
      </c>
      <c r="J13" s="381">
        <v>1</v>
      </c>
      <c r="K13" s="380">
        <f>+H13*I13*J13</f>
        <v>4658758.1999999993</v>
      </c>
    </row>
    <row r="14" spans="1:14" ht="15">
      <c r="A14" s="387">
        <f>SUM(A9:A13)</f>
        <v>7</v>
      </c>
      <c r="B14" s="383" t="s">
        <v>775</v>
      </c>
      <c r="C14" s="371" t="s">
        <v>819</v>
      </c>
      <c r="D14" s="380">
        <v>32000</v>
      </c>
      <c r="E14" s="384"/>
      <c r="F14" s="380">
        <v>32000</v>
      </c>
      <c r="G14" s="371" t="s">
        <v>782</v>
      </c>
      <c r="H14" s="371"/>
      <c r="I14" s="384">
        <f>SUM(I9:I13)</f>
        <v>8</v>
      </c>
      <c r="J14" s="381">
        <v>1</v>
      </c>
      <c r="K14" s="380">
        <f>+F14*I14</f>
        <v>256000</v>
      </c>
    </row>
    <row r="15" spans="1:14" ht="15">
      <c r="A15" s="416">
        <v>1</v>
      </c>
      <c r="B15" s="417" t="s">
        <v>816</v>
      </c>
      <c r="C15" s="395"/>
      <c r="D15" s="371"/>
      <c r="E15" s="412"/>
      <c r="F15" s="371"/>
      <c r="G15" s="371"/>
      <c r="H15" s="371"/>
      <c r="I15" s="384">
        <f t="shared" si="0"/>
        <v>1</v>
      </c>
      <c r="J15" s="384"/>
      <c r="K15" s="380">
        <v>6101000</v>
      </c>
      <c r="L15" s="617" t="s">
        <v>1131</v>
      </c>
      <c r="M15" s="376"/>
      <c r="N15" s="376"/>
    </row>
    <row r="17" spans="2:14" ht="15">
      <c r="I17" s="383" t="s">
        <v>776</v>
      </c>
      <c r="J17" s="384"/>
      <c r="K17" s="385">
        <f>SUM(K9:K16)</f>
        <v>24975881.355</v>
      </c>
    </row>
    <row r="18" spans="2:14" ht="15">
      <c r="I18" s="383" t="s">
        <v>54</v>
      </c>
      <c r="J18" s="386">
        <v>0.05</v>
      </c>
      <c r="K18" s="385">
        <f>+K17*J18</f>
        <v>1248794.0677500002</v>
      </c>
      <c r="L18" t="s">
        <v>1132</v>
      </c>
    </row>
    <row r="19" spans="2:14">
      <c r="I19" s="371"/>
      <c r="J19" s="384"/>
      <c r="K19" s="371"/>
    </row>
    <row r="20" spans="2:14" ht="15">
      <c r="I20" s="383" t="s">
        <v>57</v>
      </c>
      <c r="J20" s="387"/>
      <c r="K20" s="388">
        <f>SUM(K17:K18)</f>
        <v>26224675.42275</v>
      </c>
    </row>
    <row r="21" spans="2:14">
      <c r="L21" s="414"/>
    </row>
    <row r="22" spans="2:14" ht="15">
      <c r="I22" s="417" t="s">
        <v>777</v>
      </c>
      <c r="J22" s="711"/>
      <c r="K22" s="712">
        <f>+K20/L22</f>
        <v>1008641.3624134616</v>
      </c>
      <c r="L22" s="322">
        <v>26</v>
      </c>
      <c r="M22" s="618" t="s">
        <v>822</v>
      </c>
      <c r="N22" s="619"/>
    </row>
    <row r="23" spans="2:14" ht="15">
      <c r="I23" s="417" t="s">
        <v>778</v>
      </c>
      <c r="J23" s="713">
        <v>8</v>
      </c>
      <c r="K23" s="395"/>
      <c r="L23" s="415"/>
    </row>
    <row r="24" spans="2:14" ht="15">
      <c r="I24" s="387" t="s">
        <v>779</v>
      </c>
      <c r="J24" s="387"/>
      <c r="K24" s="383" t="s">
        <v>780</v>
      </c>
      <c r="L24" s="415"/>
    </row>
    <row r="25" spans="2:14">
      <c r="I25" s="384">
        <v>1</v>
      </c>
      <c r="J25" s="384">
        <f>+I25/$J$23</f>
        <v>0.125</v>
      </c>
      <c r="K25" s="380">
        <f>+ROUND($K$22*J25,0)</f>
        <v>126080</v>
      </c>
      <c r="L25" s="415"/>
    </row>
    <row r="26" spans="2:14">
      <c r="I26" s="384">
        <v>1.5</v>
      </c>
      <c r="J26" s="384">
        <f>+I26/$J$23</f>
        <v>0.1875</v>
      </c>
      <c r="K26" s="380">
        <f>+ROUND($K$22*J26,0)</f>
        <v>189120</v>
      </c>
      <c r="L26" s="415"/>
    </row>
    <row r="27" spans="2:14">
      <c r="I27" s="384">
        <v>2</v>
      </c>
      <c r="J27" s="384">
        <f>+I27/$J$23</f>
        <v>0.25</v>
      </c>
      <c r="K27" s="380">
        <f>+ROUND($K$22*J27,0)</f>
        <v>252160</v>
      </c>
      <c r="L27" s="415"/>
    </row>
    <row r="28" spans="2:14">
      <c r="I28" s="384">
        <v>4</v>
      </c>
      <c r="J28" s="384">
        <f>+I28/$J$23</f>
        <v>0.5</v>
      </c>
      <c r="K28" s="380">
        <f>+ROUND($K$22*J28,0)</f>
        <v>504321</v>
      </c>
    </row>
    <row r="31" spans="2:14">
      <c r="B31" t="s">
        <v>1133</v>
      </c>
    </row>
    <row r="32" spans="2:14">
      <c r="B32" s="371"/>
      <c r="C32" s="371"/>
      <c r="D32" s="371"/>
      <c r="E32" s="384"/>
      <c r="F32" s="371"/>
      <c r="G32" s="414"/>
      <c r="H32" s="414"/>
    </row>
    <row r="33" spans="2:8">
      <c r="B33" s="371" t="s">
        <v>769</v>
      </c>
      <c r="C33" s="371"/>
      <c r="D33" s="371"/>
      <c r="E33" s="384"/>
      <c r="F33" s="384">
        <v>1</v>
      </c>
      <c r="G33" s="620"/>
      <c r="H33" s="414"/>
    </row>
    <row r="34" spans="2:8">
      <c r="B34" s="371" t="s">
        <v>783</v>
      </c>
      <c r="C34" s="371"/>
      <c r="D34" s="371"/>
      <c r="E34" s="384"/>
      <c r="F34" s="392">
        <f>+$F$33/12</f>
        <v>8.3333333333333329E-2</v>
      </c>
      <c r="G34" s="621"/>
      <c r="H34" s="622"/>
    </row>
    <row r="35" spans="2:8">
      <c r="B35" s="371" t="s">
        <v>784</v>
      </c>
      <c r="C35" s="371"/>
      <c r="D35" s="371"/>
      <c r="E35" s="384"/>
      <c r="F35" s="392">
        <f>+$F$33/12</f>
        <v>8.3333333333333329E-2</v>
      </c>
      <c r="G35" s="621"/>
      <c r="H35" s="622"/>
    </row>
    <row r="36" spans="2:8">
      <c r="B36" s="371" t="s">
        <v>785</v>
      </c>
      <c r="C36" s="371"/>
      <c r="D36" s="371"/>
      <c r="E36" s="384"/>
      <c r="F36" s="392">
        <f>+F35*0.12</f>
        <v>9.9999999999999985E-3</v>
      </c>
      <c r="G36" s="621"/>
      <c r="H36" s="622"/>
    </row>
    <row r="37" spans="2:8">
      <c r="B37" s="371" t="s">
        <v>786</v>
      </c>
      <c r="C37" s="371"/>
      <c r="D37" s="371"/>
      <c r="E37" s="384"/>
      <c r="F37" s="392">
        <f>+$F$33/24</f>
        <v>4.1666666666666664E-2</v>
      </c>
      <c r="G37" s="621"/>
      <c r="H37" s="622"/>
    </row>
    <row r="38" spans="2:8">
      <c r="B38" s="371"/>
      <c r="C38" s="371"/>
      <c r="D38" s="371"/>
      <c r="E38" s="384"/>
      <c r="F38" s="393"/>
      <c r="G38" s="414"/>
      <c r="H38" s="622"/>
    </row>
    <row r="39" spans="2:8">
      <c r="B39" s="371" t="s">
        <v>787</v>
      </c>
      <c r="C39" s="371"/>
      <c r="D39" s="371"/>
      <c r="E39" s="384"/>
      <c r="F39" s="393"/>
      <c r="G39" s="414"/>
      <c r="H39" s="622"/>
    </row>
    <row r="40" spans="2:8">
      <c r="B40" s="371" t="s">
        <v>788</v>
      </c>
      <c r="C40" s="371"/>
      <c r="D40" s="371"/>
      <c r="E40" s="384"/>
      <c r="F40" s="392">
        <v>0.12</v>
      </c>
      <c r="G40" s="621"/>
      <c r="H40" s="622"/>
    </row>
    <row r="41" spans="2:8">
      <c r="B41" s="371" t="s">
        <v>789</v>
      </c>
      <c r="C41" s="371"/>
      <c r="D41" s="371"/>
      <c r="E41" s="384"/>
      <c r="F41" s="392">
        <v>0.08</v>
      </c>
      <c r="G41" s="621"/>
      <c r="H41" s="622"/>
    </row>
    <row r="42" spans="2:8">
      <c r="B42" s="371" t="s">
        <v>790</v>
      </c>
      <c r="C42" s="371"/>
      <c r="D42" s="371"/>
      <c r="E42" s="384"/>
      <c r="F42" s="392">
        <v>6.9599999999999995E-2</v>
      </c>
      <c r="G42" s="621"/>
      <c r="H42" s="622"/>
    </row>
    <row r="43" spans="2:8">
      <c r="B43" s="371" t="s">
        <v>1134</v>
      </c>
      <c r="C43" s="371"/>
      <c r="D43" s="371"/>
      <c r="E43" s="384"/>
      <c r="F43" s="392">
        <v>0.04</v>
      </c>
      <c r="G43" s="621"/>
      <c r="H43" s="622"/>
    </row>
    <row r="44" spans="2:8">
      <c r="B44" s="371"/>
      <c r="C44" s="371"/>
      <c r="D44" s="371"/>
      <c r="E44" s="384"/>
      <c r="F44" s="371"/>
      <c r="G44" s="414"/>
      <c r="H44" s="414"/>
    </row>
    <row r="45" spans="2:8">
      <c r="B45" s="371" t="s">
        <v>57</v>
      </c>
      <c r="C45" s="371"/>
      <c r="D45" s="371"/>
      <c r="E45" s="384"/>
      <c r="F45" s="394">
        <f>SUM(F34:F43)</f>
        <v>0.52793333333333337</v>
      </c>
      <c r="G45" s="414"/>
      <c r="H45" s="414"/>
    </row>
    <row r="46" spans="2:8" ht="15">
      <c r="B46" s="376" t="s">
        <v>57</v>
      </c>
      <c r="C46" s="376"/>
      <c r="D46" s="376"/>
      <c r="E46" s="379"/>
      <c r="F46" s="391">
        <f>+ROUND(F45,2)</f>
        <v>0.53</v>
      </c>
    </row>
  </sheetData>
  <pageMargins left="0.7" right="0.7" top="0.75" bottom="0.75" header="0.3" footer="0.3"/>
  <pageSetup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H677"/>
  <sheetViews>
    <sheetView topLeftCell="A489" workbookViewId="0">
      <selection activeCell="A502" sqref="A502:XFD506"/>
    </sheetView>
  </sheetViews>
  <sheetFormatPr baseColWidth="10" defaultRowHeight="12.75"/>
  <cols>
    <col min="1" max="1" width="40.125" style="64" customWidth="1"/>
    <col min="2" max="2" width="10.625" style="64" customWidth="1"/>
    <col min="3" max="3" width="6.25" style="65" customWidth="1"/>
    <col min="4" max="4" width="8.875" style="66" customWidth="1"/>
    <col min="5" max="5" width="9.75" style="64" customWidth="1"/>
    <col min="6" max="6" width="9.375" style="64" customWidth="1"/>
    <col min="7" max="7" width="8.875" style="64" customWidth="1"/>
    <col min="8" max="8" width="9.75" style="64" customWidth="1"/>
    <col min="9" max="16384" width="11" style="4"/>
  </cols>
  <sheetData>
    <row r="1" spans="1:8">
      <c r="A1" s="63" t="s">
        <v>103</v>
      </c>
      <c r="B1" s="113"/>
      <c r="C1" s="114"/>
      <c r="D1" s="114"/>
      <c r="E1" s="68" t="s">
        <v>61</v>
      </c>
      <c r="F1" s="68" t="s">
        <v>62</v>
      </c>
      <c r="G1" s="68" t="s">
        <v>63</v>
      </c>
      <c r="H1" s="68" t="s">
        <v>64</v>
      </c>
    </row>
    <row r="2" spans="1:8">
      <c r="A2" s="6" t="s">
        <v>104</v>
      </c>
      <c r="B2" s="115">
        <v>1</v>
      </c>
      <c r="C2" s="27" t="s">
        <v>49</v>
      </c>
      <c r="D2" s="8">
        <v>85000</v>
      </c>
      <c r="E2" s="8" t="s">
        <v>11</v>
      </c>
      <c r="F2" s="8">
        <f t="shared" ref="F2:F13" si="0">B2*D2</f>
        <v>85000</v>
      </c>
      <c r="G2" s="8" t="s">
        <v>11</v>
      </c>
      <c r="H2" s="8" t="s">
        <v>11</v>
      </c>
    </row>
    <row r="3" spans="1:8">
      <c r="A3" s="6" t="s">
        <v>105</v>
      </c>
      <c r="B3" s="115">
        <v>2</v>
      </c>
      <c r="C3" s="27" t="s">
        <v>49</v>
      </c>
      <c r="D3" s="8">
        <v>12500</v>
      </c>
      <c r="E3" s="8" t="s">
        <v>11</v>
      </c>
      <c r="F3" s="8">
        <f t="shared" si="0"/>
        <v>25000</v>
      </c>
      <c r="G3" s="8" t="s">
        <v>11</v>
      </c>
      <c r="H3" s="8" t="s">
        <v>11</v>
      </c>
    </row>
    <row r="4" spans="1:8">
      <c r="A4" s="6" t="s">
        <v>106</v>
      </c>
      <c r="B4" s="115">
        <v>1</v>
      </c>
      <c r="C4" s="27" t="s">
        <v>49</v>
      </c>
      <c r="D4" s="8">
        <v>7500</v>
      </c>
      <c r="E4" s="8" t="s">
        <v>11</v>
      </c>
      <c r="F4" s="8">
        <f t="shared" si="0"/>
        <v>7500</v>
      </c>
      <c r="G4" s="8" t="s">
        <v>11</v>
      </c>
      <c r="H4" s="8" t="s">
        <v>11</v>
      </c>
    </row>
    <row r="5" spans="1:8">
      <c r="A5" s="6" t="s">
        <v>107</v>
      </c>
      <c r="B5" s="115">
        <v>1</v>
      </c>
      <c r="C5" s="27" t="s">
        <v>49</v>
      </c>
      <c r="D5" s="8">
        <v>3200</v>
      </c>
      <c r="E5" s="8" t="s">
        <v>11</v>
      </c>
      <c r="F5" s="8">
        <f t="shared" si="0"/>
        <v>3200</v>
      </c>
      <c r="G5" s="8" t="s">
        <v>11</v>
      </c>
      <c r="H5" s="8" t="s">
        <v>11</v>
      </c>
    </row>
    <row r="6" spans="1:8">
      <c r="A6" s="6" t="s">
        <v>108</v>
      </c>
      <c r="B6" s="115">
        <v>3</v>
      </c>
      <c r="C6" s="27" t="s">
        <v>49</v>
      </c>
      <c r="D6" s="8">
        <v>105000</v>
      </c>
      <c r="E6" s="8" t="s">
        <v>11</v>
      </c>
      <c r="F6" s="8">
        <f t="shared" si="0"/>
        <v>315000</v>
      </c>
      <c r="G6" s="8" t="s">
        <v>11</v>
      </c>
      <c r="H6" s="8" t="s">
        <v>11</v>
      </c>
    </row>
    <row r="7" spans="1:8">
      <c r="A7" s="6" t="s">
        <v>109</v>
      </c>
      <c r="B7" s="115">
        <v>3</v>
      </c>
      <c r="C7" s="27" t="s">
        <v>49</v>
      </c>
      <c r="D7" s="8">
        <v>50000</v>
      </c>
      <c r="E7" s="8" t="s">
        <v>11</v>
      </c>
      <c r="F7" s="8">
        <f t="shared" si="0"/>
        <v>150000</v>
      </c>
      <c r="G7" s="8" t="s">
        <v>11</v>
      </c>
      <c r="H7" s="8" t="s">
        <v>11</v>
      </c>
    </row>
    <row r="8" spans="1:8">
      <c r="A8" s="6" t="s">
        <v>110</v>
      </c>
      <c r="B8" s="115">
        <v>3</v>
      </c>
      <c r="C8" s="27" t="s">
        <v>49</v>
      </c>
      <c r="D8" s="8">
        <v>3500</v>
      </c>
      <c r="E8" s="8" t="s">
        <v>11</v>
      </c>
      <c r="F8" s="8">
        <f t="shared" si="0"/>
        <v>10500</v>
      </c>
      <c r="G8" s="8" t="s">
        <v>11</v>
      </c>
      <c r="H8" s="8" t="s">
        <v>11</v>
      </c>
    </row>
    <row r="9" spans="1:8">
      <c r="A9" s="6" t="s">
        <v>111</v>
      </c>
      <c r="B9" s="115">
        <v>3</v>
      </c>
      <c r="C9" s="27" t="s">
        <v>49</v>
      </c>
      <c r="D9" s="8">
        <v>35000</v>
      </c>
      <c r="E9" s="8" t="s">
        <v>11</v>
      </c>
      <c r="F9" s="8">
        <f t="shared" si="0"/>
        <v>105000</v>
      </c>
      <c r="G9" s="8" t="s">
        <v>11</v>
      </c>
      <c r="H9" s="8" t="s">
        <v>11</v>
      </c>
    </row>
    <row r="10" spans="1:8">
      <c r="A10" s="6" t="s">
        <v>112</v>
      </c>
      <c r="B10" s="115">
        <v>3</v>
      </c>
      <c r="C10" s="27" t="s">
        <v>49</v>
      </c>
      <c r="D10" s="8">
        <v>23500</v>
      </c>
      <c r="E10" s="8" t="s">
        <v>11</v>
      </c>
      <c r="F10" s="8">
        <f t="shared" si="0"/>
        <v>70500</v>
      </c>
      <c r="G10" s="8" t="s">
        <v>11</v>
      </c>
      <c r="H10" s="8" t="s">
        <v>11</v>
      </c>
    </row>
    <row r="11" spans="1:8">
      <c r="A11" s="6" t="s">
        <v>113</v>
      </c>
      <c r="B11" s="115">
        <v>15</v>
      </c>
      <c r="C11" s="27" t="s">
        <v>66</v>
      </c>
      <c r="D11" s="8">
        <v>9116</v>
      </c>
      <c r="E11" s="8" t="s">
        <v>11</v>
      </c>
      <c r="F11" s="8">
        <f t="shared" si="0"/>
        <v>136740</v>
      </c>
      <c r="G11" s="8" t="s">
        <v>11</v>
      </c>
      <c r="H11" s="8" t="s">
        <v>11</v>
      </c>
    </row>
    <row r="12" spans="1:8">
      <c r="A12" s="6" t="s">
        <v>114</v>
      </c>
      <c r="B12" s="115">
        <v>4</v>
      </c>
      <c r="C12" s="27" t="s">
        <v>49</v>
      </c>
      <c r="D12" s="8">
        <v>280</v>
      </c>
      <c r="E12" s="8" t="s">
        <v>11</v>
      </c>
      <c r="F12" s="8">
        <f t="shared" si="0"/>
        <v>1120</v>
      </c>
      <c r="G12" s="8" t="s">
        <v>11</v>
      </c>
      <c r="H12" s="8" t="s">
        <v>11</v>
      </c>
    </row>
    <row r="13" spans="1:8">
      <c r="A13" s="6" t="s">
        <v>115</v>
      </c>
      <c r="B13" s="115">
        <v>4</v>
      </c>
      <c r="C13" s="27" t="s">
        <v>49</v>
      </c>
      <c r="D13" s="8">
        <v>250</v>
      </c>
      <c r="E13" s="8" t="s">
        <v>11</v>
      </c>
      <c r="F13" s="8">
        <f t="shared" si="0"/>
        <v>1000</v>
      </c>
      <c r="G13" s="8" t="s">
        <v>11</v>
      </c>
      <c r="H13" s="8" t="s">
        <v>11</v>
      </c>
    </row>
    <row r="14" spans="1:8">
      <c r="A14" s="6" t="s">
        <v>116</v>
      </c>
      <c r="B14" s="115">
        <v>1</v>
      </c>
      <c r="C14" s="27" t="s">
        <v>117</v>
      </c>
      <c r="D14" s="8">
        <v>7000</v>
      </c>
      <c r="E14" s="8">
        <f>B14*D14</f>
        <v>7000</v>
      </c>
      <c r="F14" s="8" t="s">
        <v>11</v>
      </c>
      <c r="G14" s="8" t="s">
        <v>11</v>
      </c>
      <c r="H14" s="8" t="s">
        <v>11</v>
      </c>
    </row>
    <row r="15" spans="1:8">
      <c r="A15" s="6" t="s">
        <v>68</v>
      </c>
      <c r="B15" s="116">
        <v>0.88300000000000001</v>
      </c>
      <c r="C15" s="27" t="s">
        <v>69</v>
      </c>
      <c r="D15" s="8">
        <v>170000</v>
      </c>
      <c r="E15" s="8" t="s">
        <v>11</v>
      </c>
      <c r="F15" s="8" t="s">
        <v>11</v>
      </c>
      <c r="G15" s="8">
        <f>B15*D15</f>
        <v>150110</v>
      </c>
      <c r="H15" s="8" t="s">
        <v>11</v>
      </c>
    </row>
    <row r="16" spans="1:8">
      <c r="A16" s="76" t="s">
        <v>70</v>
      </c>
      <c r="B16" s="85">
        <f>ROUND((SUM(E16:H16)),0)</f>
        <v>1067670</v>
      </c>
      <c r="C16" s="78" t="s">
        <v>73</v>
      </c>
      <c r="D16" s="117"/>
      <c r="E16" s="8">
        <f>SUM(E2:E15)</f>
        <v>7000</v>
      </c>
      <c r="F16" s="8">
        <f>SUM(F2:F15)</f>
        <v>910560</v>
      </c>
      <c r="G16" s="8">
        <f>SUM(G2:G15)</f>
        <v>150110</v>
      </c>
      <c r="H16" s="8">
        <f>SUM(H2:H15)</f>
        <v>0</v>
      </c>
    </row>
    <row r="17" spans="1:8">
      <c r="A17" s="118"/>
      <c r="B17" s="113"/>
      <c r="C17" s="114"/>
      <c r="D17" s="119"/>
      <c r="E17" s="120"/>
      <c r="F17" s="120"/>
      <c r="G17" s="120"/>
      <c r="H17" s="120"/>
    </row>
    <row r="18" spans="1:8">
      <c r="A18" s="63" t="s">
        <v>118</v>
      </c>
    </row>
    <row r="19" spans="1:8">
      <c r="A19" s="63"/>
      <c r="E19" s="68" t="s">
        <v>61</v>
      </c>
      <c r="F19" s="68" t="s">
        <v>62</v>
      </c>
      <c r="G19" s="68" t="s">
        <v>63</v>
      </c>
      <c r="H19" s="68" t="s">
        <v>64</v>
      </c>
    </row>
    <row r="20" spans="1:8" s="121" customFormat="1" ht="14.25">
      <c r="A20" s="90" t="s">
        <v>119</v>
      </c>
      <c r="B20" s="82">
        <v>1</v>
      </c>
      <c r="C20" s="30" t="s">
        <v>66</v>
      </c>
      <c r="D20" s="9">
        <v>62500</v>
      </c>
      <c r="E20" s="29" t="s">
        <v>11</v>
      </c>
      <c r="F20" s="83">
        <f>B20*D20</f>
        <v>62500</v>
      </c>
      <c r="G20" s="9" t="s">
        <v>11</v>
      </c>
      <c r="H20" s="29" t="s">
        <v>11</v>
      </c>
    </row>
    <row r="21" spans="1:8" s="121" customFormat="1" ht="14.25">
      <c r="A21" s="90" t="s">
        <v>85</v>
      </c>
      <c r="B21" s="82">
        <v>1</v>
      </c>
      <c r="C21" s="30" t="s">
        <v>8</v>
      </c>
      <c r="D21" s="9">
        <v>17500</v>
      </c>
      <c r="E21" s="29" t="s">
        <v>11</v>
      </c>
      <c r="F21" s="83">
        <f>B21*D21</f>
        <v>17500</v>
      </c>
      <c r="G21" s="9" t="s">
        <v>11</v>
      </c>
      <c r="H21" s="29" t="s">
        <v>11</v>
      </c>
    </row>
    <row r="22" spans="1:8" s="121" customFormat="1" ht="14.25">
      <c r="A22" s="90" t="s">
        <v>86</v>
      </c>
      <c r="B22" s="82">
        <v>3</v>
      </c>
      <c r="C22" s="30" t="s">
        <v>66</v>
      </c>
      <c r="D22" s="9">
        <v>2800</v>
      </c>
      <c r="E22" s="29" t="s">
        <v>11</v>
      </c>
      <c r="F22" s="83">
        <f>B22*D22</f>
        <v>8400</v>
      </c>
      <c r="G22" s="9" t="s">
        <v>11</v>
      </c>
      <c r="H22" s="29" t="s">
        <v>11</v>
      </c>
    </row>
    <row r="23" spans="1:8" s="121" customFormat="1" ht="14.25">
      <c r="A23" s="90" t="s">
        <v>87</v>
      </c>
      <c r="B23" s="82">
        <v>6</v>
      </c>
      <c r="C23" s="30" t="s">
        <v>8</v>
      </c>
      <c r="D23" s="9">
        <v>700</v>
      </c>
      <c r="E23" s="29"/>
      <c r="F23" s="83">
        <f>B23*D23</f>
        <v>4200</v>
      </c>
      <c r="G23" s="9"/>
      <c r="H23" s="29"/>
    </row>
    <row r="24" spans="1:8" s="121" customFormat="1" ht="14.25">
      <c r="A24" s="90" t="s">
        <v>68</v>
      </c>
      <c r="B24" s="91">
        <v>0.1177</v>
      </c>
      <c r="C24" s="30" t="s">
        <v>69</v>
      </c>
      <c r="D24" s="9">
        <v>170000</v>
      </c>
      <c r="E24" s="29" t="s">
        <v>11</v>
      </c>
      <c r="F24" s="29" t="s">
        <v>11</v>
      </c>
      <c r="G24" s="9">
        <f>B24*D24</f>
        <v>20009</v>
      </c>
      <c r="H24" s="29" t="s">
        <v>11</v>
      </c>
    </row>
    <row r="25" spans="1:8">
      <c r="A25" s="76" t="s">
        <v>70</v>
      </c>
      <c r="B25" s="85">
        <f>ROUND((SUM(E25:H25)),0)</f>
        <v>112609</v>
      </c>
      <c r="C25" s="78" t="s">
        <v>73</v>
      </c>
      <c r="D25" s="86"/>
      <c r="E25" s="80">
        <f>SUM(E20:E24)</f>
        <v>0</v>
      </c>
      <c r="F25" s="80">
        <f>SUM(F20:F24)</f>
        <v>92600</v>
      </c>
      <c r="G25" s="80">
        <f>SUM(G20:G24)</f>
        <v>20009</v>
      </c>
      <c r="H25" s="80">
        <f>SUM(H20:H24)</f>
        <v>0</v>
      </c>
    </row>
    <row r="26" spans="1:8">
      <c r="A26" s="122"/>
      <c r="B26" s="123"/>
      <c r="C26" s="124"/>
      <c r="D26" s="125"/>
      <c r="E26" s="126"/>
      <c r="F26" s="126"/>
      <c r="G26" s="126"/>
      <c r="H26" s="126"/>
    </row>
    <row r="27" spans="1:8">
      <c r="A27" s="63" t="s">
        <v>120</v>
      </c>
    </row>
    <row r="28" spans="1:8">
      <c r="A28" s="63"/>
      <c r="E28" s="68" t="s">
        <v>61</v>
      </c>
      <c r="F28" s="68" t="s">
        <v>62</v>
      </c>
      <c r="G28" s="68" t="s">
        <v>63</v>
      </c>
      <c r="H28" s="68" t="s">
        <v>64</v>
      </c>
    </row>
    <row r="29" spans="1:8">
      <c r="A29" s="90" t="s">
        <v>121</v>
      </c>
      <c r="B29" s="82">
        <v>1</v>
      </c>
      <c r="C29" s="30" t="s">
        <v>29</v>
      </c>
      <c r="D29" s="9">
        <v>310950</v>
      </c>
      <c r="E29" s="29" t="s">
        <v>11</v>
      </c>
      <c r="F29" s="83">
        <f>B29*D29</f>
        <v>310950</v>
      </c>
      <c r="G29" s="9" t="s">
        <v>11</v>
      </c>
      <c r="H29" s="29" t="s">
        <v>11</v>
      </c>
    </row>
    <row r="30" spans="1:8">
      <c r="A30" s="90" t="s">
        <v>82</v>
      </c>
      <c r="B30" s="82">
        <v>1</v>
      </c>
      <c r="C30" s="30" t="s">
        <v>75</v>
      </c>
      <c r="D30" s="9">
        <v>50000</v>
      </c>
      <c r="E30" s="29" t="s">
        <v>11</v>
      </c>
      <c r="F30" s="83">
        <f>B30*D30</f>
        <v>50000</v>
      </c>
      <c r="G30" s="9" t="s">
        <v>11</v>
      </c>
      <c r="H30" s="29" t="s">
        <v>11</v>
      </c>
    </row>
    <row r="31" spans="1:8">
      <c r="A31" s="90" t="s">
        <v>68</v>
      </c>
      <c r="B31" s="84">
        <v>0.5</v>
      </c>
      <c r="C31" s="30" t="s">
        <v>69</v>
      </c>
      <c r="D31" s="9">
        <v>170000</v>
      </c>
      <c r="E31" s="29" t="s">
        <v>11</v>
      </c>
      <c r="F31" s="29" t="s">
        <v>11</v>
      </c>
      <c r="G31" s="9">
        <f>B31*D31</f>
        <v>85000</v>
      </c>
      <c r="H31" s="29" t="s">
        <v>11</v>
      </c>
    </row>
    <row r="32" spans="1:8">
      <c r="A32" s="76" t="s">
        <v>70</v>
      </c>
      <c r="B32" s="85">
        <f>ROUND((SUM(E32:H32)),0)</f>
        <v>445950</v>
      </c>
      <c r="C32" s="78" t="s">
        <v>73</v>
      </c>
      <c r="D32" s="86"/>
      <c r="E32" s="80">
        <f>SUM(E29:E31)</f>
        <v>0</v>
      </c>
      <c r="F32" s="80">
        <f>SUM(F29:F31)</f>
        <v>360950</v>
      </c>
      <c r="G32" s="80">
        <f>SUM(G29:G31)</f>
        <v>85000</v>
      </c>
      <c r="H32" s="80">
        <f>SUM(H29:H31)</f>
        <v>0</v>
      </c>
    </row>
    <row r="33" spans="1:8">
      <c r="A33" s="122"/>
      <c r="B33" s="123"/>
      <c r="C33" s="124"/>
      <c r="D33" s="125"/>
      <c r="E33" s="126"/>
      <c r="F33" s="126"/>
      <c r="G33" s="126"/>
      <c r="H33" s="126"/>
    </row>
    <row r="34" spans="1:8" s="50" customFormat="1">
      <c r="A34" s="63" t="s">
        <v>122</v>
      </c>
      <c r="B34" s="64"/>
      <c r="C34" s="65"/>
      <c r="D34" s="66"/>
      <c r="E34" s="64"/>
      <c r="F34" s="64"/>
      <c r="G34" s="64"/>
      <c r="H34" s="64"/>
    </row>
    <row r="35" spans="1:8" s="50" customFormat="1">
      <c r="A35" s="63"/>
      <c r="B35" s="64"/>
      <c r="C35" s="65"/>
      <c r="D35" s="66"/>
      <c r="E35" s="68" t="s">
        <v>61</v>
      </c>
      <c r="F35" s="68" t="s">
        <v>62</v>
      </c>
      <c r="G35" s="68" t="s">
        <v>63</v>
      </c>
      <c r="H35" s="68" t="s">
        <v>64</v>
      </c>
    </row>
    <row r="36" spans="1:8" s="50" customFormat="1">
      <c r="A36" s="6" t="s">
        <v>123</v>
      </c>
      <c r="B36" s="115">
        <v>3</v>
      </c>
      <c r="C36" s="27" t="s">
        <v>66</v>
      </c>
      <c r="D36" s="8">
        <v>23729</v>
      </c>
      <c r="E36" s="6" t="s">
        <v>11</v>
      </c>
      <c r="F36" s="127">
        <f>B36*D36</f>
        <v>71187</v>
      </c>
      <c r="G36" s="8" t="s">
        <v>11</v>
      </c>
      <c r="H36" s="6" t="s">
        <v>11</v>
      </c>
    </row>
    <row r="37" spans="1:8" s="50" customFormat="1">
      <c r="A37" s="6" t="s">
        <v>68</v>
      </c>
      <c r="B37" s="128">
        <v>0.14710000000000001</v>
      </c>
      <c r="C37" s="27" t="s">
        <v>69</v>
      </c>
      <c r="D37" s="8">
        <v>170000</v>
      </c>
      <c r="E37" s="6" t="s">
        <v>11</v>
      </c>
      <c r="F37" s="6" t="s">
        <v>11</v>
      </c>
      <c r="G37" s="8">
        <f>B37*D37</f>
        <v>25007</v>
      </c>
      <c r="H37" s="6" t="s">
        <v>11</v>
      </c>
    </row>
    <row r="38" spans="1:8" s="50" customFormat="1">
      <c r="A38" s="76" t="s">
        <v>70</v>
      </c>
      <c r="B38" s="85">
        <f>ROUND((SUM(E38:H38)),0)</f>
        <v>96194</v>
      </c>
      <c r="C38" s="78" t="s">
        <v>71</v>
      </c>
      <c r="D38" s="86"/>
      <c r="E38" s="80">
        <f>SUM(E36:E37)</f>
        <v>0</v>
      </c>
      <c r="F38" s="80">
        <f>SUM(F36:F37)</f>
        <v>71187</v>
      </c>
      <c r="G38" s="80">
        <f>SUM(G36:G37)</f>
        <v>25007</v>
      </c>
      <c r="H38" s="80">
        <f>SUM(H36:H37)</f>
        <v>0</v>
      </c>
    </row>
    <row r="39" spans="1:8">
      <c r="A39" s="122"/>
      <c r="B39" s="123"/>
      <c r="C39" s="124"/>
      <c r="D39" s="125"/>
      <c r="E39" s="126"/>
      <c r="F39" s="126"/>
      <c r="G39" s="126"/>
      <c r="H39" s="126"/>
    </row>
    <row r="40" spans="1:8" s="50" customFormat="1">
      <c r="A40" s="63" t="s">
        <v>124</v>
      </c>
      <c r="B40" s="64"/>
      <c r="C40" s="65"/>
      <c r="D40" s="66"/>
      <c r="E40" s="64"/>
      <c r="F40" s="64"/>
      <c r="G40" s="64"/>
      <c r="H40" s="64"/>
    </row>
    <row r="41" spans="1:8">
      <c r="A41" s="63"/>
      <c r="E41" s="68" t="s">
        <v>61</v>
      </c>
      <c r="F41" s="68" t="s">
        <v>62</v>
      </c>
      <c r="G41" s="68" t="s">
        <v>63</v>
      </c>
      <c r="H41" s="68" t="s">
        <v>64</v>
      </c>
    </row>
    <row r="42" spans="1:8">
      <c r="A42" s="6" t="s">
        <v>125</v>
      </c>
      <c r="B42" s="115">
        <v>4</v>
      </c>
      <c r="C42" s="27" t="s">
        <v>66</v>
      </c>
      <c r="D42" s="8">
        <v>6500</v>
      </c>
      <c r="E42" s="6" t="s">
        <v>11</v>
      </c>
      <c r="F42" s="6">
        <f>B42*D42</f>
        <v>26000</v>
      </c>
      <c r="G42" s="8" t="s">
        <v>11</v>
      </c>
      <c r="H42" s="127"/>
    </row>
    <row r="43" spans="1:8">
      <c r="A43" s="6" t="s">
        <v>126</v>
      </c>
      <c r="B43" s="115">
        <v>1</v>
      </c>
      <c r="C43" s="27" t="s">
        <v>75</v>
      </c>
      <c r="D43" s="6">
        <v>1200</v>
      </c>
      <c r="E43" s="6" t="s">
        <v>11</v>
      </c>
      <c r="F43" s="6">
        <f>B43*D43</f>
        <v>1200</v>
      </c>
      <c r="G43" s="8" t="s">
        <v>11</v>
      </c>
      <c r="H43" s="8"/>
    </row>
    <row r="44" spans="1:8">
      <c r="A44" s="6" t="s">
        <v>68</v>
      </c>
      <c r="B44" s="128">
        <v>2.6499999999999999E-2</v>
      </c>
      <c r="C44" s="27" t="s">
        <v>69</v>
      </c>
      <c r="D44" s="8">
        <v>170000</v>
      </c>
      <c r="E44" s="6" t="s">
        <v>11</v>
      </c>
      <c r="F44" s="6" t="s">
        <v>11</v>
      </c>
      <c r="G44" s="8">
        <f>B44*D44</f>
        <v>4505</v>
      </c>
      <c r="H44" s="6" t="s">
        <v>11</v>
      </c>
    </row>
    <row r="45" spans="1:8">
      <c r="A45" s="76" t="s">
        <v>70</v>
      </c>
      <c r="B45" s="85">
        <f>ROUND((SUM(E45:H45)),0)</f>
        <v>31705</v>
      </c>
      <c r="C45" s="78" t="s">
        <v>18</v>
      </c>
      <c r="D45" s="86"/>
      <c r="E45" s="80">
        <f>SUM(E42:E44)</f>
        <v>0</v>
      </c>
      <c r="F45" s="80">
        <f>SUM(F42:F44)</f>
        <v>27200</v>
      </c>
      <c r="G45" s="80">
        <f>SUM(G42:G44)</f>
        <v>4505</v>
      </c>
      <c r="H45" s="80">
        <f>SUM(H42:H44)</f>
        <v>0</v>
      </c>
    </row>
    <row r="46" spans="1:8">
      <c r="A46" s="122"/>
      <c r="B46" s="123"/>
      <c r="C46" s="124"/>
      <c r="D46" s="125"/>
      <c r="E46" s="126"/>
      <c r="F46" s="126"/>
      <c r="G46" s="126"/>
      <c r="H46" s="126"/>
    </row>
    <row r="47" spans="1:8" s="50" customFormat="1">
      <c r="A47" s="63" t="s">
        <v>127</v>
      </c>
      <c r="B47" s="64"/>
      <c r="C47" s="65"/>
      <c r="D47" s="66"/>
      <c r="E47" s="64"/>
      <c r="F47" s="64"/>
      <c r="G47" s="64"/>
      <c r="H47" s="64"/>
    </row>
    <row r="48" spans="1:8" s="50" customFormat="1">
      <c r="A48" s="63"/>
      <c r="B48" s="64"/>
      <c r="C48" s="65"/>
      <c r="D48" s="66"/>
      <c r="E48" s="68" t="s">
        <v>61</v>
      </c>
      <c r="F48" s="68" t="s">
        <v>62</v>
      </c>
      <c r="G48" s="68" t="s">
        <v>63</v>
      </c>
      <c r="H48" s="68" t="s">
        <v>64</v>
      </c>
    </row>
    <row r="49" spans="1:8" s="50" customFormat="1">
      <c r="A49" s="6" t="s">
        <v>128</v>
      </c>
      <c r="B49" s="115">
        <v>1</v>
      </c>
      <c r="C49" s="27" t="s">
        <v>49</v>
      </c>
      <c r="D49" s="8">
        <v>511449</v>
      </c>
      <c r="E49" s="6" t="s">
        <v>11</v>
      </c>
      <c r="F49" s="6">
        <f>B49*D49</f>
        <v>511449</v>
      </c>
      <c r="G49" s="8" t="s">
        <v>11</v>
      </c>
      <c r="H49" s="127"/>
    </row>
    <row r="50" spans="1:8" s="50" customFormat="1">
      <c r="A50" s="129" t="s">
        <v>70</v>
      </c>
      <c r="B50" s="85">
        <f>ROUND((SUM(E50:H50)),0)</f>
        <v>511449</v>
      </c>
      <c r="C50" s="130" t="s">
        <v>73</v>
      </c>
      <c r="D50" s="131"/>
      <c r="E50" s="132">
        <f>SUM(E49:E49)</f>
        <v>0</v>
      </c>
      <c r="F50" s="132">
        <f>SUM(F49:F49)</f>
        <v>511449</v>
      </c>
      <c r="G50" s="132">
        <f>SUM(G49:G49)</f>
        <v>0</v>
      </c>
      <c r="H50" s="132">
        <f>SUM(H49:H49)</f>
        <v>0</v>
      </c>
    </row>
    <row r="51" spans="1:8">
      <c r="A51" s="122"/>
      <c r="B51" s="123"/>
      <c r="C51" s="124"/>
      <c r="D51" s="125"/>
      <c r="E51" s="126"/>
      <c r="F51" s="126"/>
      <c r="G51" s="126"/>
      <c r="H51" s="126"/>
    </row>
    <row r="52" spans="1:8" s="50" customFormat="1">
      <c r="A52" s="63" t="s">
        <v>129</v>
      </c>
      <c r="B52" s="64"/>
      <c r="C52" s="65"/>
      <c r="D52" s="66"/>
      <c r="E52" s="64"/>
      <c r="F52" s="64"/>
      <c r="G52" s="64"/>
      <c r="H52" s="64"/>
    </row>
    <row r="53" spans="1:8">
      <c r="A53" s="63"/>
      <c r="E53" s="68" t="s">
        <v>61</v>
      </c>
      <c r="F53" s="68" t="s">
        <v>62</v>
      </c>
      <c r="G53" s="68" t="s">
        <v>63</v>
      </c>
      <c r="H53" s="68" t="s">
        <v>64</v>
      </c>
    </row>
    <row r="54" spans="1:8">
      <c r="A54" s="6" t="s">
        <v>130</v>
      </c>
      <c r="B54" s="115">
        <v>1</v>
      </c>
      <c r="C54" s="27" t="s">
        <v>131</v>
      </c>
      <c r="D54" s="8">
        <v>215000</v>
      </c>
      <c r="E54" s="6" t="s">
        <v>11</v>
      </c>
      <c r="F54" s="6">
        <f>B54*D54</f>
        <v>215000</v>
      </c>
      <c r="G54" s="8" t="s">
        <v>11</v>
      </c>
      <c r="H54" s="127"/>
    </row>
    <row r="55" spans="1:8">
      <c r="A55" s="6" t="s">
        <v>132</v>
      </c>
      <c r="B55" s="115">
        <v>1</v>
      </c>
      <c r="C55" s="27" t="s">
        <v>133</v>
      </c>
      <c r="D55" s="8">
        <v>50000</v>
      </c>
      <c r="E55" s="6" t="s">
        <v>11</v>
      </c>
      <c r="F55" s="8">
        <f>B55*D55</f>
        <v>50000</v>
      </c>
      <c r="G55" s="8" t="s">
        <v>11</v>
      </c>
      <c r="H55" s="6" t="s">
        <v>11</v>
      </c>
    </row>
    <row r="56" spans="1:8">
      <c r="A56" s="6" t="s">
        <v>68</v>
      </c>
      <c r="B56" s="133">
        <v>0.5</v>
      </c>
      <c r="C56" s="27" t="s">
        <v>69</v>
      </c>
      <c r="D56" s="8">
        <v>170000</v>
      </c>
      <c r="E56" s="6" t="s">
        <v>11</v>
      </c>
      <c r="F56" s="6" t="s">
        <v>11</v>
      </c>
      <c r="G56" s="8">
        <f>B56*D56</f>
        <v>85000</v>
      </c>
      <c r="H56" s="6" t="s">
        <v>11</v>
      </c>
    </row>
    <row r="57" spans="1:8">
      <c r="A57" s="76" t="s">
        <v>70</v>
      </c>
      <c r="B57" s="85">
        <f>ROUND((SUM(E57:H57)),0)</f>
        <v>350000</v>
      </c>
      <c r="C57" s="78" t="s">
        <v>83</v>
      </c>
      <c r="D57" s="86"/>
      <c r="E57" s="80">
        <f>SUM(E54:E56)</f>
        <v>0</v>
      </c>
      <c r="F57" s="80">
        <f>SUM(F54:F56)</f>
        <v>265000</v>
      </c>
      <c r="G57" s="80">
        <f>SUM(G54:G56)</f>
        <v>85000</v>
      </c>
      <c r="H57" s="80">
        <f>SUM(H54:H56)</f>
        <v>0</v>
      </c>
    </row>
    <row r="58" spans="1:8">
      <c r="A58" s="122"/>
      <c r="B58" s="123"/>
      <c r="C58" s="124"/>
      <c r="D58" s="125"/>
      <c r="E58" s="126"/>
      <c r="F58" s="126"/>
      <c r="G58" s="126"/>
      <c r="H58" s="126"/>
    </row>
    <row r="59" spans="1:8" s="50" customFormat="1">
      <c r="A59" s="63" t="s">
        <v>134</v>
      </c>
      <c r="B59" s="64"/>
      <c r="C59" s="65"/>
      <c r="D59" s="66"/>
      <c r="E59" s="64"/>
      <c r="F59" s="64"/>
      <c r="G59" s="64"/>
      <c r="H59" s="64"/>
    </row>
    <row r="60" spans="1:8">
      <c r="A60" s="63"/>
      <c r="E60" s="68" t="s">
        <v>61</v>
      </c>
      <c r="F60" s="68" t="s">
        <v>62</v>
      </c>
      <c r="G60" s="68" t="s">
        <v>63</v>
      </c>
      <c r="H60" s="68" t="s">
        <v>64</v>
      </c>
    </row>
    <row r="61" spans="1:8">
      <c r="A61" s="6" t="s">
        <v>135</v>
      </c>
      <c r="B61" s="115">
        <v>1</v>
      </c>
      <c r="C61" s="27" t="s">
        <v>49</v>
      </c>
      <c r="D61" s="8">
        <v>6966307</v>
      </c>
      <c r="E61" s="6" t="s">
        <v>11</v>
      </c>
      <c r="F61" s="127">
        <f>B61*D61</f>
        <v>6966307</v>
      </c>
      <c r="G61" s="8" t="s">
        <v>11</v>
      </c>
      <c r="H61" s="6" t="s">
        <v>11</v>
      </c>
    </row>
    <row r="62" spans="1:8">
      <c r="A62" s="6" t="s">
        <v>68</v>
      </c>
      <c r="B62" s="115">
        <v>3</v>
      </c>
      <c r="C62" s="27" t="s">
        <v>69</v>
      </c>
      <c r="D62" s="8">
        <v>170000</v>
      </c>
      <c r="E62" s="6" t="s">
        <v>11</v>
      </c>
      <c r="F62" s="6" t="s">
        <v>11</v>
      </c>
      <c r="G62" s="8">
        <f>B62*D62</f>
        <v>510000</v>
      </c>
      <c r="H62" s="6" t="s">
        <v>11</v>
      </c>
    </row>
    <row r="63" spans="1:8">
      <c r="A63" s="76" t="s">
        <v>70</v>
      </c>
      <c r="B63" s="85">
        <f>ROUND((SUM(E63:H63)),0)</f>
        <v>7476307</v>
      </c>
      <c r="C63" s="78" t="s">
        <v>73</v>
      </c>
      <c r="D63" s="86"/>
      <c r="E63" s="80">
        <f>SUM(E61:E62)</f>
        <v>0</v>
      </c>
      <c r="F63" s="80">
        <f>SUM(F61:F62)</f>
        <v>6966307</v>
      </c>
      <c r="G63" s="80">
        <f>SUM(G61:G62)</f>
        <v>510000</v>
      </c>
      <c r="H63" s="80">
        <f>SUM(H61:H62)</f>
        <v>0</v>
      </c>
    </row>
    <row r="64" spans="1:8">
      <c r="A64" s="122"/>
      <c r="B64" s="123"/>
      <c r="C64" s="124"/>
      <c r="D64" s="125"/>
      <c r="E64" s="126"/>
      <c r="F64" s="126"/>
      <c r="G64" s="126"/>
      <c r="H64" s="126"/>
    </row>
    <row r="65" spans="1:8" s="50" customFormat="1">
      <c r="A65" s="63" t="s">
        <v>136</v>
      </c>
      <c r="B65" s="64"/>
      <c r="C65" s="65"/>
      <c r="D65" s="66"/>
      <c r="E65" s="64"/>
      <c r="F65" s="64"/>
      <c r="G65" s="64"/>
      <c r="H65" s="64"/>
    </row>
    <row r="66" spans="1:8">
      <c r="A66" s="63"/>
      <c r="E66" s="68" t="s">
        <v>61</v>
      </c>
      <c r="F66" s="68" t="s">
        <v>62</v>
      </c>
      <c r="G66" s="68" t="s">
        <v>63</v>
      </c>
      <c r="H66" s="68" t="s">
        <v>64</v>
      </c>
    </row>
    <row r="67" spans="1:8">
      <c r="A67" s="6" t="s">
        <v>137</v>
      </c>
      <c r="B67" s="115">
        <v>1</v>
      </c>
      <c r="C67" s="27" t="s">
        <v>49</v>
      </c>
      <c r="D67" s="8">
        <v>3903200</v>
      </c>
      <c r="E67" s="6" t="s">
        <v>11</v>
      </c>
      <c r="F67" s="127">
        <f>B67*D67</f>
        <v>3903200</v>
      </c>
      <c r="G67" s="8" t="s">
        <v>11</v>
      </c>
      <c r="H67" s="6" t="s">
        <v>11</v>
      </c>
    </row>
    <row r="68" spans="1:8">
      <c r="A68" s="6" t="s">
        <v>68</v>
      </c>
      <c r="B68" s="115">
        <v>2.5</v>
      </c>
      <c r="C68" s="27" t="s">
        <v>69</v>
      </c>
      <c r="D68" s="8">
        <v>170000</v>
      </c>
      <c r="E68" s="6" t="s">
        <v>11</v>
      </c>
      <c r="F68" s="6" t="s">
        <v>11</v>
      </c>
      <c r="G68" s="8">
        <f>B68*D68</f>
        <v>425000</v>
      </c>
      <c r="H68" s="6" t="s">
        <v>11</v>
      </c>
    </row>
    <row r="69" spans="1:8">
      <c r="A69" s="76" t="s">
        <v>70</v>
      </c>
      <c r="B69" s="85">
        <f>ROUND((SUM(E69:H69)),0)</f>
        <v>4328200</v>
      </c>
      <c r="C69" s="78" t="s">
        <v>73</v>
      </c>
      <c r="D69" s="86"/>
      <c r="E69" s="80">
        <f>SUM(E67:E68)</f>
        <v>0</v>
      </c>
      <c r="F69" s="80">
        <f>SUM(F67:F68)</f>
        <v>3903200</v>
      </c>
      <c r="G69" s="80">
        <f>SUM(G67:G68)</f>
        <v>425000</v>
      </c>
      <c r="H69" s="80">
        <f>SUM(H67:H68)</f>
        <v>0</v>
      </c>
    </row>
    <row r="70" spans="1:8">
      <c r="A70" s="122"/>
      <c r="B70" s="123"/>
      <c r="C70" s="124"/>
      <c r="D70" s="125"/>
      <c r="E70" s="126"/>
      <c r="F70" s="126"/>
      <c r="G70" s="126"/>
      <c r="H70" s="126"/>
    </row>
    <row r="71" spans="1:8" s="50" customFormat="1">
      <c r="A71" s="63" t="s">
        <v>138</v>
      </c>
      <c r="B71" s="64"/>
      <c r="C71" s="65"/>
      <c r="D71" s="66"/>
      <c r="E71" s="64"/>
      <c r="F71" s="64"/>
      <c r="G71" s="64"/>
      <c r="H71" s="64"/>
    </row>
    <row r="72" spans="1:8" s="50" customFormat="1">
      <c r="A72" s="63"/>
      <c r="B72" s="64"/>
      <c r="C72" s="65"/>
      <c r="D72" s="66"/>
      <c r="E72" s="68" t="s">
        <v>61</v>
      </c>
      <c r="F72" s="68" t="s">
        <v>62</v>
      </c>
      <c r="G72" s="68" t="s">
        <v>63</v>
      </c>
      <c r="H72" s="68" t="s">
        <v>64</v>
      </c>
    </row>
    <row r="73" spans="1:8" s="50" customFormat="1">
      <c r="A73" s="6" t="s">
        <v>139</v>
      </c>
      <c r="B73" s="115">
        <v>1</v>
      </c>
      <c r="C73" s="27" t="s">
        <v>49</v>
      </c>
      <c r="D73" s="8">
        <v>5000000</v>
      </c>
      <c r="E73" s="6" t="s">
        <v>11</v>
      </c>
      <c r="F73" s="127">
        <f>B73*D73</f>
        <v>5000000</v>
      </c>
      <c r="G73" s="8" t="s">
        <v>11</v>
      </c>
      <c r="H73" s="6" t="s">
        <v>11</v>
      </c>
    </row>
    <row r="74" spans="1:8" s="50" customFormat="1">
      <c r="A74" s="6" t="s">
        <v>68</v>
      </c>
      <c r="B74" s="116">
        <v>2.9430000000000001</v>
      </c>
      <c r="C74" s="27" t="s">
        <v>69</v>
      </c>
      <c r="D74" s="8">
        <v>170000</v>
      </c>
      <c r="E74" s="6" t="s">
        <v>11</v>
      </c>
      <c r="F74" s="6" t="s">
        <v>11</v>
      </c>
      <c r="G74" s="8">
        <f>B74*D74</f>
        <v>500310</v>
      </c>
      <c r="H74" s="6" t="s">
        <v>11</v>
      </c>
    </row>
    <row r="75" spans="1:8" s="50" customFormat="1">
      <c r="A75" s="76" t="s">
        <v>70</v>
      </c>
      <c r="B75" s="85">
        <f>ROUND((SUM(E75:H75)),0)</f>
        <v>5500310</v>
      </c>
      <c r="C75" s="78" t="s">
        <v>73</v>
      </c>
      <c r="D75" s="86"/>
      <c r="E75" s="80">
        <f>SUM(E73:E74)</f>
        <v>0</v>
      </c>
      <c r="F75" s="80">
        <f>SUM(F73:F74)</f>
        <v>5000000</v>
      </c>
      <c r="G75" s="80">
        <f>SUM(G73:G74)</f>
        <v>500310</v>
      </c>
      <c r="H75" s="80">
        <f>SUM(H73:H74)</f>
        <v>0</v>
      </c>
    </row>
    <row r="76" spans="1:8">
      <c r="A76" s="122"/>
      <c r="B76" s="123"/>
      <c r="C76" s="124"/>
      <c r="D76" s="125"/>
      <c r="E76" s="126"/>
      <c r="F76" s="126"/>
      <c r="G76" s="126"/>
      <c r="H76" s="126"/>
    </row>
    <row r="77" spans="1:8" s="50" customFormat="1">
      <c r="A77" s="63" t="s">
        <v>140</v>
      </c>
      <c r="B77" s="64"/>
      <c r="C77" s="65"/>
      <c r="D77" s="66"/>
      <c r="E77" s="64"/>
      <c r="F77" s="64"/>
      <c r="G77" s="64"/>
      <c r="H77" s="64"/>
    </row>
    <row r="78" spans="1:8" s="50" customFormat="1">
      <c r="A78" s="63"/>
      <c r="B78" s="64"/>
      <c r="C78" s="65"/>
      <c r="D78" s="66"/>
      <c r="E78" s="68" t="s">
        <v>61</v>
      </c>
      <c r="F78" s="68" t="s">
        <v>62</v>
      </c>
      <c r="G78" s="68" t="s">
        <v>63</v>
      </c>
      <c r="H78" s="68" t="s">
        <v>64</v>
      </c>
    </row>
    <row r="79" spans="1:8" s="50" customFormat="1">
      <c r="A79" s="6" t="s">
        <v>141</v>
      </c>
      <c r="B79" s="115">
        <v>1</v>
      </c>
      <c r="C79" s="27" t="s">
        <v>8</v>
      </c>
      <c r="D79" s="8">
        <v>30812000</v>
      </c>
      <c r="E79" s="6" t="s">
        <v>11</v>
      </c>
      <c r="F79" s="127">
        <f>B79*D79</f>
        <v>30812000</v>
      </c>
      <c r="G79" s="8" t="s">
        <v>11</v>
      </c>
      <c r="H79" s="6" t="s">
        <v>11</v>
      </c>
    </row>
    <row r="80" spans="1:8" s="50" customFormat="1">
      <c r="A80" s="6" t="s">
        <v>68</v>
      </c>
      <c r="B80" s="115">
        <v>15</v>
      </c>
      <c r="C80" s="27" t="s">
        <v>69</v>
      </c>
      <c r="D80" s="8">
        <v>170000</v>
      </c>
      <c r="E80" s="6" t="s">
        <v>11</v>
      </c>
      <c r="F80" s="6" t="s">
        <v>11</v>
      </c>
      <c r="G80" s="8">
        <f>B80*D80</f>
        <v>2550000</v>
      </c>
      <c r="H80" s="6" t="s">
        <v>11</v>
      </c>
    </row>
    <row r="81" spans="1:8" s="50" customFormat="1">
      <c r="A81" s="76" t="s">
        <v>70</v>
      </c>
      <c r="B81" s="85">
        <f>ROUND((SUM(E81:H81)),0)</f>
        <v>33362000</v>
      </c>
      <c r="C81" s="78" t="s">
        <v>73</v>
      </c>
      <c r="D81" s="86"/>
      <c r="E81" s="80">
        <f>SUM(E79:E80)</f>
        <v>0</v>
      </c>
      <c r="F81" s="80">
        <f>SUM(F79:F80)</f>
        <v>30812000</v>
      </c>
      <c r="G81" s="80">
        <f>SUM(G79:G80)</f>
        <v>2550000</v>
      </c>
      <c r="H81" s="80">
        <f>SUM(H79:H80)</f>
        <v>0</v>
      </c>
    </row>
    <row r="82" spans="1:8">
      <c r="A82" s="122"/>
      <c r="B82" s="123"/>
      <c r="C82" s="124"/>
      <c r="D82" s="125"/>
      <c r="E82" s="126"/>
      <c r="F82" s="126"/>
      <c r="G82" s="126"/>
      <c r="H82" s="126"/>
    </row>
    <row r="83" spans="1:8">
      <c r="A83" s="63" t="s">
        <v>142</v>
      </c>
    </row>
    <row r="84" spans="1:8">
      <c r="A84" s="63"/>
      <c r="E84" s="68" t="s">
        <v>61</v>
      </c>
      <c r="F84" s="68" t="s">
        <v>62</v>
      </c>
      <c r="G84" s="68" t="s">
        <v>63</v>
      </c>
      <c r="H84" s="68" t="s">
        <v>64</v>
      </c>
    </row>
    <row r="85" spans="1:8" s="121" customFormat="1" ht="14.25">
      <c r="A85" s="90" t="s">
        <v>143</v>
      </c>
      <c r="B85" s="82">
        <v>1</v>
      </c>
      <c r="C85" s="30" t="s">
        <v>8</v>
      </c>
      <c r="D85" s="9">
        <v>1500000</v>
      </c>
      <c r="E85" s="29" t="s">
        <v>11</v>
      </c>
      <c r="F85" s="83">
        <f t="shared" ref="F85:F90" si="1">B85*D85</f>
        <v>1500000</v>
      </c>
      <c r="G85" s="9" t="s">
        <v>11</v>
      </c>
      <c r="H85" s="29" t="s">
        <v>11</v>
      </c>
    </row>
    <row r="86" spans="1:8" s="121" customFormat="1" ht="14.25">
      <c r="A86" s="90" t="s">
        <v>144</v>
      </c>
      <c r="B86" s="82">
        <v>1</v>
      </c>
      <c r="C86" s="30" t="s">
        <v>8</v>
      </c>
      <c r="D86" s="9">
        <v>275000</v>
      </c>
      <c r="E86" s="29" t="s">
        <v>11</v>
      </c>
      <c r="F86" s="83">
        <f t="shared" si="1"/>
        <v>275000</v>
      </c>
      <c r="G86" s="9" t="s">
        <v>11</v>
      </c>
      <c r="H86" s="29" t="s">
        <v>11</v>
      </c>
    </row>
    <row r="87" spans="1:8" s="121" customFormat="1" ht="14.25">
      <c r="A87" s="90" t="s">
        <v>145</v>
      </c>
      <c r="B87" s="82">
        <v>1</v>
      </c>
      <c r="C87" s="30" t="s">
        <v>8</v>
      </c>
      <c r="D87" s="9">
        <v>150000</v>
      </c>
      <c r="E87" s="29" t="s">
        <v>11</v>
      </c>
      <c r="F87" s="83">
        <f t="shared" si="1"/>
        <v>150000</v>
      </c>
      <c r="G87" s="9" t="s">
        <v>11</v>
      </c>
      <c r="H87" s="29" t="s">
        <v>11</v>
      </c>
    </row>
    <row r="88" spans="1:8" s="121" customFormat="1" ht="14.25">
      <c r="A88" s="90" t="s">
        <v>146</v>
      </c>
      <c r="B88" s="82">
        <v>1</v>
      </c>
      <c r="C88" s="30" t="s">
        <v>8</v>
      </c>
      <c r="D88" s="9">
        <v>115000</v>
      </c>
      <c r="E88" s="29"/>
      <c r="F88" s="83">
        <f t="shared" si="1"/>
        <v>115000</v>
      </c>
      <c r="G88" s="9"/>
      <c r="H88" s="29"/>
    </row>
    <row r="89" spans="1:8" s="134" customFormat="1" ht="25.5">
      <c r="A89" s="92" t="s">
        <v>90</v>
      </c>
      <c r="B89" s="93">
        <v>1</v>
      </c>
      <c r="C89" s="41" t="s">
        <v>8</v>
      </c>
      <c r="D89" s="42">
        <v>4000000</v>
      </c>
      <c r="E89" s="94"/>
      <c r="F89" s="95">
        <f t="shared" si="1"/>
        <v>4000000</v>
      </c>
      <c r="G89" s="42"/>
      <c r="H89" s="94"/>
    </row>
    <row r="90" spans="1:8" s="121" customFormat="1" ht="14.25">
      <c r="A90" s="90" t="s">
        <v>147</v>
      </c>
      <c r="B90" s="82">
        <v>1</v>
      </c>
      <c r="C90" s="30" t="s">
        <v>8</v>
      </c>
      <c r="D90" s="9">
        <v>15700000</v>
      </c>
      <c r="E90" s="29"/>
      <c r="F90" s="83">
        <f t="shared" si="1"/>
        <v>15700000</v>
      </c>
      <c r="G90" s="9"/>
      <c r="H90" s="29"/>
    </row>
    <row r="91" spans="1:8" s="121" customFormat="1" ht="14.25">
      <c r="A91" s="90" t="s">
        <v>68</v>
      </c>
      <c r="B91" s="84">
        <v>2.5</v>
      </c>
      <c r="C91" s="30" t="s">
        <v>69</v>
      </c>
      <c r="D91" s="9">
        <v>170000</v>
      </c>
      <c r="E91" s="29" t="s">
        <v>11</v>
      </c>
      <c r="F91" s="29" t="s">
        <v>11</v>
      </c>
      <c r="G91" s="9">
        <f>B91*D91</f>
        <v>425000</v>
      </c>
      <c r="H91" s="29" t="s">
        <v>11</v>
      </c>
    </row>
    <row r="92" spans="1:8">
      <c r="A92" s="76" t="s">
        <v>70</v>
      </c>
      <c r="B92" s="85">
        <f>ROUND((SUM(E92:H92)),0)</f>
        <v>22165000</v>
      </c>
      <c r="C92" s="78" t="s">
        <v>73</v>
      </c>
      <c r="D92" s="86"/>
      <c r="E92" s="80">
        <f>SUM(E85:E91)</f>
        <v>0</v>
      </c>
      <c r="F92" s="80">
        <f>SUM(F85:F91)</f>
        <v>21740000</v>
      </c>
      <c r="G92" s="80">
        <f>SUM(G85:G91)</f>
        <v>425000</v>
      </c>
      <c r="H92" s="80">
        <f>SUM(H85:H91)</f>
        <v>0</v>
      </c>
    </row>
    <row r="93" spans="1:8">
      <c r="A93" s="122"/>
      <c r="B93" s="123"/>
      <c r="C93" s="124"/>
      <c r="D93" s="125"/>
      <c r="E93" s="126"/>
      <c r="F93" s="126"/>
      <c r="G93" s="126"/>
      <c r="H93" s="126"/>
    </row>
    <row r="94" spans="1:8">
      <c r="A94" s="63" t="s">
        <v>148</v>
      </c>
    </row>
    <row r="95" spans="1:8">
      <c r="A95" s="63"/>
      <c r="E95" s="68" t="s">
        <v>61</v>
      </c>
      <c r="F95" s="68" t="s">
        <v>62</v>
      </c>
      <c r="G95" s="68" t="s">
        <v>63</v>
      </c>
      <c r="H95" s="68" t="s">
        <v>64</v>
      </c>
    </row>
    <row r="96" spans="1:8" s="121" customFormat="1" ht="14.25">
      <c r="A96" s="29" t="s">
        <v>149</v>
      </c>
      <c r="B96" s="82">
        <v>8</v>
      </c>
      <c r="C96" s="30" t="s">
        <v>66</v>
      </c>
      <c r="D96" s="9">
        <v>9390</v>
      </c>
      <c r="E96" s="29" t="s">
        <v>11</v>
      </c>
      <c r="F96" s="83">
        <f>B96*D96</f>
        <v>75120</v>
      </c>
      <c r="G96" s="9" t="s">
        <v>11</v>
      </c>
      <c r="H96" s="29" t="s">
        <v>11</v>
      </c>
    </row>
    <row r="97" spans="1:8" s="121" customFormat="1" ht="14.25">
      <c r="A97" s="90" t="s">
        <v>67</v>
      </c>
      <c r="B97" s="82">
        <v>1</v>
      </c>
      <c r="C97" s="30" t="s">
        <v>66</v>
      </c>
      <c r="D97" s="9">
        <v>6575</v>
      </c>
      <c r="E97" s="29" t="s">
        <v>11</v>
      </c>
      <c r="F97" s="83">
        <f>B97*D97</f>
        <v>6575</v>
      </c>
      <c r="G97" s="9" t="s">
        <v>11</v>
      </c>
      <c r="H97" s="29" t="s">
        <v>11</v>
      </c>
    </row>
    <row r="98" spans="1:8" s="121" customFormat="1" ht="14.25">
      <c r="A98" s="90" t="s">
        <v>68</v>
      </c>
      <c r="B98" s="96">
        <v>0.11799999999999999</v>
      </c>
      <c r="C98" s="30" t="s">
        <v>69</v>
      </c>
      <c r="D98" s="9">
        <v>170000</v>
      </c>
      <c r="E98" s="29" t="s">
        <v>11</v>
      </c>
      <c r="F98" s="29" t="s">
        <v>11</v>
      </c>
      <c r="G98" s="9">
        <f>B98*D98</f>
        <v>20060</v>
      </c>
      <c r="H98" s="29" t="s">
        <v>11</v>
      </c>
    </row>
    <row r="99" spans="1:8">
      <c r="A99" s="76" t="s">
        <v>70</v>
      </c>
      <c r="B99" s="85">
        <f>ROUND((SUM(E99:H99)),0)</f>
        <v>101755</v>
      </c>
      <c r="C99" s="78" t="s">
        <v>71</v>
      </c>
      <c r="D99" s="86"/>
      <c r="E99" s="80">
        <f>SUM(E96:E98)</f>
        <v>0</v>
      </c>
      <c r="F99" s="80">
        <f>SUM(F96:F98)</f>
        <v>81695</v>
      </c>
      <c r="G99" s="80">
        <f>SUM(G96:G98)</f>
        <v>20060</v>
      </c>
      <c r="H99" s="80">
        <f>SUM(H96:H98)</f>
        <v>0</v>
      </c>
    </row>
    <row r="100" spans="1:8">
      <c r="A100" s="122"/>
      <c r="B100" s="123"/>
      <c r="C100" s="124"/>
      <c r="D100" s="125"/>
      <c r="E100" s="126"/>
      <c r="F100" s="126"/>
      <c r="G100" s="126"/>
      <c r="H100" s="126"/>
    </row>
    <row r="101" spans="1:8">
      <c r="A101" s="63" t="s">
        <v>150</v>
      </c>
    </row>
    <row r="102" spans="1:8">
      <c r="A102" s="63"/>
      <c r="E102" s="68" t="s">
        <v>61</v>
      </c>
      <c r="F102" s="68" t="s">
        <v>62</v>
      </c>
      <c r="G102" s="68" t="s">
        <v>63</v>
      </c>
      <c r="H102" s="68" t="s">
        <v>64</v>
      </c>
    </row>
    <row r="103" spans="1:8" s="121" customFormat="1" ht="14.25">
      <c r="A103" s="29" t="s">
        <v>149</v>
      </c>
      <c r="B103" s="82">
        <v>8</v>
      </c>
      <c r="C103" s="30" t="s">
        <v>66</v>
      </c>
      <c r="D103" s="9">
        <v>9390</v>
      </c>
      <c r="E103" s="29" t="s">
        <v>11</v>
      </c>
      <c r="F103" s="83">
        <f>B103*D103</f>
        <v>75120</v>
      </c>
      <c r="G103" s="9" t="s">
        <v>11</v>
      </c>
      <c r="H103" s="29" t="s">
        <v>11</v>
      </c>
    </row>
    <row r="104" spans="1:8" s="121" customFormat="1" ht="14.25">
      <c r="A104" s="90" t="s">
        <v>67</v>
      </c>
      <c r="B104" s="82">
        <v>1</v>
      </c>
      <c r="C104" s="30" t="s">
        <v>66</v>
      </c>
      <c r="D104" s="9">
        <v>6575</v>
      </c>
      <c r="E104" s="29" t="s">
        <v>11</v>
      </c>
      <c r="F104" s="83">
        <f>B104*D104</f>
        <v>6575</v>
      </c>
      <c r="G104" s="9" t="s">
        <v>11</v>
      </c>
      <c r="H104" s="29" t="s">
        <v>11</v>
      </c>
    </row>
    <row r="105" spans="1:8" s="121" customFormat="1" ht="14.25">
      <c r="A105" s="90" t="s">
        <v>68</v>
      </c>
      <c r="B105" s="96">
        <v>0.11799999999999999</v>
      </c>
      <c r="C105" s="30" t="s">
        <v>69</v>
      </c>
      <c r="D105" s="9">
        <v>170000</v>
      </c>
      <c r="E105" s="29" t="s">
        <v>11</v>
      </c>
      <c r="F105" s="29" t="s">
        <v>11</v>
      </c>
      <c r="G105" s="9">
        <f>B105*D105</f>
        <v>20060</v>
      </c>
      <c r="H105" s="29" t="s">
        <v>11</v>
      </c>
    </row>
    <row r="106" spans="1:8">
      <c r="A106" s="76" t="s">
        <v>70</v>
      </c>
      <c r="B106" s="85">
        <f>ROUND((SUM(E106:H106)),0)</f>
        <v>101755</v>
      </c>
      <c r="C106" s="78" t="s">
        <v>71</v>
      </c>
      <c r="D106" s="86"/>
      <c r="E106" s="80">
        <f>SUM(E103:E105)</f>
        <v>0</v>
      </c>
      <c r="F106" s="80">
        <f>SUM(F103:F105)</f>
        <v>81695</v>
      </c>
      <c r="G106" s="80">
        <f>SUM(G103:G105)</f>
        <v>20060</v>
      </c>
      <c r="H106" s="80">
        <f>SUM(H103:H105)</f>
        <v>0</v>
      </c>
    </row>
    <row r="107" spans="1:8">
      <c r="A107" s="122"/>
      <c r="B107" s="123"/>
      <c r="C107" s="124"/>
      <c r="D107" s="125"/>
      <c r="E107" s="126"/>
      <c r="F107" s="126"/>
      <c r="G107" s="126"/>
      <c r="H107" s="126"/>
    </row>
    <row r="108" spans="1:8" s="50" customFormat="1">
      <c r="A108" s="63" t="s">
        <v>151</v>
      </c>
      <c r="B108" s="64"/>
      <c r="C108" s="65"/>
      <c r="D108" s="66"/>
      <c r="E108" s="64"/>
      <c r="F108" s="64"/>
      <c r="G108" s="64"/>
      <c r="H108" s="64"/>
    </row>
    <row r="109" spans="1:8">
      <c r="A109" s="63"/>
      <c r="E109" s="68" t="s">
        <v>61</v>
      </c>
      <c r="F109" s="68" t="s">
        <v>62</v>
      </c>
      <c r="G109" s="68" t="s">
        <v>63</v>
      </c>
      <c r="H109" s="68" t="s">
        <v>64</v>
      </c>
    </row>
    <row r="110" spans="1:8">
      <c r="A110" s="6" t="s">
        <v>152</v>
      </c>
      <c r="B110" s="115">
        <v>6</v>
      </c>
      <c r="C110" s="27" t="s">
        <v>49</v>
      </c>
      <c r="D110" s="8">
        <v>115000</v>
      </c>
      <c r="E110" s="6" t="s">
        <v>11</v>
      </c>
      <c r="F110" s="127">
        <f>B110*D110</f>
        <v>690000</v>
      </c>
      <c r="G110" s="8" t="s">
        <v>11</v>
      </c>
      <c r="H110" s="6" t="s">
        <v>11</v>
      </c>
    </row>
    <row r="111" spans="1:8">
      <c r="A111" s="6" t="s">
        <v>153</v>
      </c>
      <c r="B111" s="115">
        <v>40</v>
      </c>
      <c r="C111" s="27" t="s">
        <v>66</v>
      </c>
      <c r="D111" s="8">
        <v>17693</v>
      </c>
      <c r="E111" s="6" t="s">
        <v>11</v>
      </c>
      <c r="F111" s="127">
        <f>B111*D111</f>
        <v>707720</v>
      </c>
      <c r="G111" s="8" t="s">
        <v>11</v>
      </c>
      <c r="H111" s="6" t="s">
        <v>11</v>
      </c>
    </row>
    <row r="112" spans="1:8">
      <c r="A112" s="6" t="s">
        <v>80</v>
      </c>
      <c r="B112" s="115">
        <v>840</v>
      </c>
      <c r="C112" s="27" t="s">
        <v>154</v>
      </c>
      <c r="D112" s="6">
        <v>300</v>
      </c>
      <c r="E112" s="6" t="s">
        <v>11</v>
      </c>
      <c r="F112" s="127">
        <f>B112*D112</f>
        <v>252000</v>
      </c>
      <c r="G112" s="8" t="s">
        <v>11</v>
      </c>
      <c r="H112" s="6" t="s">
        <v>11</v>
      </c>
    </row>
    <row r="113" spans="1:8">
      <c r="A113" s="6" t="s">
        <v>155</v>
      </c>
      <c r="B113" s="115">
        <v>6</v>
      </c>
      <c r="C113" s="27" t="s">
        <v>49</v>
      </c>
      <c r="D113" s="8">
        <v>70000</v>
      </c>
      <c r="E113" s="6" t="s">
        <v>11</v>
      </c>
      <c r="F113" s="127">
        <f>B113*D113</f>
        <v>420000</v>
      </c>
      <c r="G113" s="8" t="s">
        <v>11</v>
      </c>
      <c r="H113" s="6" t="s">
        <v>11</v>
      </c>
    </row>
    <row r="114" spans="1:8">
      <c r="A114" s="6" t="s">
        <v>68</v>
      </c>
      <c r="B114" s="115">
        <v>4</v>
      </c>
      <c r="C114" s="27" t="s">
        <v>69</v>
      </c>
      <c r="D114" s="8">
        <v>170000</v>
      </c>
      <c r="E114" s="6" t="s">
        <v>11</v>
      </c>
      <c r="F114" s="6" t="s">
        <v>11</v>
      </c>
      <c r="G114" s="8">
        <f>B114*D114</f>
        <v>680000</v>
      </c>
      <c r="H114" s="6" t="s">
        <v>11</v>
      </c>
    </row>
    <row r="115" spans="1:8">
      <c r="A115" s="76" t="s">
        <v>70</v>
      </c>
      <c r="B115" s="85">
        <f>ROUND((SUM(E115:H115)),0)</f>
        <v>2749720</v>
      </c>
      <c r="C115" s="78" t="s">
        <v>73</v>
      </c>
      <c r="D115" s="86"/>
      <c r="E115" s="80">
        <f>SUM(E110:E114)</f>
        <v>0</v>
      </c>
      <c r="F115" s="80">
        <f>SUM(F110:F114)</f>
        <v>2069720</v>
      </c>
      <c r="G115" s="80">
        <f>SUM(G110:G114)</f>
        <v>680000</v>
      </c>
      <c r="H115" s="80">
        <f>SUM(H110:H114)</f>
        <v>0</v>
      </c>
    </row>
    <row r="116" spans="1:8">
      <c r="A116" s="122"/>
      <c r="B116" s="123"/>
      <c r="C116" s="124"/>
      <c r="D116" s="125"/>
      <c r="E116" s="126"/>
      <c r="F116" s="126"/>
      <c r="G116" s="126"/>
      <c r="H116" s="126"/>
    </row>
    <row r="117" spans="1:8">
      <c r="A117" s="63" t="s">
        <v>156</v>
      </c>
    </row>
    <row r="118" spans="1:8">
      <c r="A118" s="63"/>
      <c r="E118" s="68" t="s">
        <v>61</v>
      </c>
      <c r="F118" s="68" t="s">
        <v>62</v>
      </c>
      <c r="G118" s="68" t="s">
        <v>63</v>
      </c>
      <c r="H118" s="68" t="s">
        <v>64</v>
      </c>
    </row>
    <row r="119" spans="1:8">
      <c r="A119" s="29" t="s">
        <v>157</v>
      </c>
      <c r="B119" s="82">
        <v>1</v>
      </c>
      <c r="C119" s="30" t="s">
        <v>49</v>
      </c>
      <c r="D119" s="9">
        <v>7000000</v>
      </c>
      <c r="E119" s="29" t="s">
        <v>11</v>
      </c>
      <c r="F119" s="83">
        <f t="shared" ref="F119:F128" si="2">B119*D119</f>
        <v>7000000</v>
      </c>
      <c r="G119" s="9" t="s">
        <v>11</v>
      </c>
      <c r="H119" s="29" t="s">
        <v>11</v>
      </c>
    </row>
    <row r="120" spans="1:8">
      <c r="A120" s="29" t="s">
        <v>158</v>
      </c>
      <c r="B120" s="82">
        <v>2</v>
      </c>
      <c r="C120" s="30" t="s">
        <v>49</v>
      </c>
      <c r="D120" s="9">
        <v>275000</v>
      </c>
      <c r="E120" s="29" t="s">
        <v>11</v>
      </c>
      <c r="F120" s="83">
        <f t="shared" si="2"/>
        <v>550000</v>
      </c>
      <c r="G120" s="9" t="s">
        <v>11</v>
      </c>
      <c r="H120" s="29" t="s">
        <v>11</v>
      </c>
    </row>
    <row r="121" spans="1:8">
      <c r="A121" s="29" t="s">
        <v>159</v>
      </c>
      <c r="B121" s="82">
        <v>43</v>
      </c>
      <c r="C121" s="30" t="s">
        <v>49</v>
      </c>
      <c r="D121" s="9">
        <v>55000</v>
      </c>
      <c r="E121" s="29" t="s">
        <v>11</v>
      </c>
      <c r="F121" s="83">
        <f t="shared" si="2"/>
        <v>2365000</v>
      </c>
      <c r="G121" s="9" t="s">
        <v>11</v>
      </c>
      <c r="H121" s="29" t="s">
        <v>11</v>
      </c>
    </row>
    <row r="122" spans="1:8">
      <c r="A122" s="29" t="s">
        <v>95</v>
      </c>
      <c r="B122" s="82">
        <v>1</v>
      </c>
      <c r="C122" s="30" t="s">
        <v>49</v>
      </c>
      <c r="D122" s="9">
        <v>300000</v>
      </c>
      <c r="E122" s="29" t="s">
        <v>11</v>
      </c>
      <c r="F122" s="83">
        <f t="shared" si="2"/>
        <v>300000</v>
      </c>
      <c r="G122" s="9" t="s">
        <v>11</v>
      </c>
      <c r="H122" s="29" t="s">
        <v>11</v>
      </c>
    </row>
    <row r="123" spans="1:8">
      <c r="A123" s="29" t="s">
        <v>97</v>
      </c>
      <c r="B123" s="82">
        <v>1</v>
      </c>
      <c r="C123" s="30" t="s">
        <v>8</v>
      </c>
      <c r="D123" s="9">
        <v>160000</v>
      </c>
      <c r="E123" s="29"/>
      <c r="F123" s="83">
        <f t="shared" si="2"/>
        <v>160000</v>
      </c>
      <c r="G123" s="9"/>
      <c r="H123" s="29"/>
    </row>
    <row r="124" spans="1:8">
      <c r="A124" s="29" t="s">
        <v>160</v>
      </c>
      <c r="B124" s="82">
        <v>3</v>
      </c>
      <c r="C124" s="30" t="s">
        <v>8</v>
      </c>
      <c r="D124" s="9">
        <v>60000</v>
      </c>
      <c r="E124" s="29"/>
      <c r="F124" s="83">
        <f t="shared" si="2"/>
        <v>180000</v>
      </c>
      <c r="G124" s="9"/>
      <c r="H124" s="29"/>
    </row>
    <row r="125" spans="1:8">
      <c r="A125" s="29" t="s">
        <v>161</v>
      </c>
      <c r="B125" s="82">
        <v>0</v>
      </c>
      <c r="C125" s="30" t="s">
        <v>8</v>
      </c>
      <c r="D125" s="9">
        <v>45000</v>
      </c>
      <c r="E125" s="29"/>
      <c r="F125" s="83">
        <f t="shared" si="2"/>
        <v>0</v>
      </c>
      <c r="G125" s="9"/>
      <c r="H125" s="29"/>
    </row>
    <row r="126" spans="1:8">
      <c r="A126" s="29" t="s">
        <v>162</v>
      </c>
      <c r="B126" s="82">
        <v>43</v>
      </c>
      <c r="C126" s="30" t="s">
        <v>8</v>
      </c>
      <c r="D126" s="9">
        <v>12500</v>
      </c>
      <c r="E126" s="29"/>
      <c r="F126" s="83">
        <f t="shared" si="2"/>
        <v>537500</v>
      </c>
      <c r="G126" s="9"/>
      <c r="H126" s="29"/>
    </row>
    <row r="127" spans="1:8">
      <c r="A127" s="29" t="s">
        <v>96</v>
      </c>
      <c r="B127" s="82">
        <v>1</v>
      </c>
      <c r="C127" s="30" t="s">
        <v>8</v>
      </c>
      <c r="D127" s="9">
        <v>150000</v>
      </c>
      <c r="E127" s="29"/>
      <c r="F127" s="83">
        <f t="shared" si="2"/>
        <v>150000</v>
      </c>
      <c r="G127" s="9"/>
      <c r="H127" s="29"/>
    </row>
    <row r="128" spans="1:8">
      <c r="A128" s="29" t="s">
        <v>163</v>
      </c>
      <c r="B128" s="82">
        <v>0</v>
      </c>
      <c r="C128" s="30" t="s">
        <v>8</v>
      </c>
      <c r="D128" s="9">
        <v>150000</v>
      </c>
      <c r="E128" s="29"/>
      <c r="F128" s="83">
        <f t="shared" si="2"/>
        <v>0</v>
      </c>
      <c r="G128" s="9"/>
      <c r="H128" s="29"/>
    </row>
    <row r="129" spans="1:8">
      <c r="A129" s="29" t="s">
        <v>68</v>
      </c>
      <c r="B129" s="82">
        <v>9</v>
      </c>
      <c r="C129" s="30" t="s">
        <v>69</v>
      </c>
      <c r="D129" s="9">
        <v>170000</v>
      </c>
      <c r="E129" s="29" t="s">
        <v>11</v>
      </c>
      <c r="F129" s="29" t="s">
        <v>11</v>
      </c>
      <c r="G129" s="9">
        <f>B129*D129</f>
        <v>1530000</v>
      </c>
      <c r="H129" s="29" t="s">
        <v>11</v>
      </c>
    </row>
    <row r="130" spans="1:8">
      <c r="A130" s="76" t="s">
        <v>70</v>
      </c>
      <c r="B130" s="85">
        <f>ROUND((SUM(E130:H130)),0)</f>
        <v>12772500</v>
      </c>
      <c r="C130" s="78" t="s">
        <v>73</v>
      </c>
      <c r="D130" s="86"/>
      <c r="E130" s="80">
        <f>SUM(E119:E129)</f>
        <v>0</v>
      </c>
      <c r="F130" s="80">
        <f>SUM(F119:F129)</f>
        <v>11242500</v>
      </c>
      <c r="G130" s="80">
        <f>SUM(G119:G129)</f>
        <v>1530000</v>
      </c>
      <c r="H130" s="80">
        <f>SUM(H119:H129)</f>
        <v>0</v>
      </c>
    </row>
    <row r="131" spans="1:8">
      <c r="A131" s="122"/>
      <c r="B131" s="123"/>
      <c r="C131" s="124"/>
      <c r="D131" s="125"/>
      <c r="E131" s="126"/>
      <c r="F131" s="126"/>
      <c r="G131" s="126"/>
      <c r="H131" s="126"/>
    </row>
    <row r="132" spans="1:8">
      <c r="A132" s="63" t="s">
        <v>164</v>
      </c>
    </row>
    <row r="133" spans="1:8">
      <c r="A133" s="63"/>
      <c r="E133" s="68" t="s">
        <v>61</v>
      </c>
      <c r="F133" s="68" t="s">
        <v>62</v>
      </c>
      <c r="G133" s="68" t="s">
        <v>63</v>
      </c>
      <c r="H133" s="68" t="s">
        <v>64</v>
      </c>
    </row>
    <row r="134" spans="1:8">
      <c r="A134" s="29" t="s">
        <v>165</v>
      </c>
      <c r="B134" s="82">
        <v>1</v>
      </c>
      <c r="C134" s="30" t="s">
        <v>49</v>
      </c>
      <c r="D134" s="9">
        <v>420575</v>
      </c>
      <c r="E134" s="29" t="s">
        <v>11</v>
      </c>
      <c r="F134" s="83">
        <f>B134*D134</f>
        <v>420575</v>
      </c>
      <c r="G134" s="9" t="s">
        <v>11</v>
      </c>
      <c r="H134" s="29" t="s">
        <v>11</v>
      </c>
    </row>
    <row r="135" spans="1:8">
      <c r="A135" s="29" t="s">
        <v>68</v>
      </c>
      <c r="B135" s="84">
        <v>0.7</v>
      </c>
      <c r="C135" s="30" t="s">
        <v>69</v>
      </c>
      <c r="D135" s="9">
        <v>170000</v>
      </c>
      <c r="E135" s="29" t="s">
        <v>11</v>
      </c>
      <c r="F135" s="29" t="s">
        <v>11</v>
      </c>
      <c r="G135" s="9">
        <f>B135*D135</f>
        <v>118999.99999999999</v>
      </c>
      <c r="H135" s="29" t="s">
        <v>11</v>
      </c>
    </row>
    <row r="136" spans="1:8">
      <c r="A136" s="76" t="s">
        <v>70</v>
      </c>
      <c r="B136" s="85">
        <f>ROUND((SUM(E136:H136)),0)</f>
        <v>539575</v>
      </c>
      <c r="C136" s="78" t="s">
        <v>73</v>
      </c>
      <c r="D136" s="86"/>
      <c r="E136" s="80">
        <f>SUM(E134:E135)</f>
        <v>0</v>
      </c>
      <c r="F136" s="80">
        <f>SUM(F134:F135)</f>
        <v>420575</v>
      </c>
      <c r="G136" s="80">
        <f>SUM(G134:G135)</f>
        <v>118999.99999999999</v>
      </c>
      <c r="H136" s="80">
        <f>SUM(H134:H135)</f>
        <v>0</v>
      </c>
    </row>
    <row r="138" spans="1:8">
      <c r="A138" s="63" t="s">
        <v>166</v>
      </c>
    </row>
    <row r="139" spans="1:8">
      <c r="A139" s="63"/>
      <c r="E139" s="68" t="s">
        <v>61</v>
      </c>
      <c r="F139" s="68" t="s">
        <v>62</v>
      </c>
      <c r="G139" s="68" t="s">
        <v>63</v>
      </c>
      <c r="H139" s="68" t="s">
        <v>64</v>
      </c>
    </row>
    <row r="140" spans="1:8">
      <c r="A140" s="29" t="s">
        <v>167</v>
      </c>
      <c r="B140" s="82">
        <v>1</v>
      </c>
      <c r="C140" s="30" t="s">
        <v>49</v>
      </c>
      <c r="D140" s="9">
        <v>280000</v>
      </c>
      <c r="E140" s="29" t="s">
        <v>11</v>
      </c>
      <c r="F140" s="83">
        <f>B140*D140</f>
        <v>280000</v>
      </c>
      <c r="G140" s="9" t="s">
        <v>11</v>
      </c>
      <c r="H140" s="29" t="s">
        <v>11</v>
      </c>
    </row>
    <row r="141" spans="1:8">
      <c r="A141" s="29" t="s">
        <v>68</v>
      </c>
      <c r="B141" s="84">
        <v>0.6</v>
      </c>
      <c r="C141" s="30" t="s">
        <v>69</v>
      </c>
      <c r="D141" s="9">
        <v>170000</v>
      </c>
      <c r="E141" s="29" t="s">
        <v>11</v>
      </c>
      <c r="F141" s="29" t="s">
        <v>11</v>
      </c>
      <c r="G141" s="9">
        <f>B141*D141</f>
        <v>102000</v>
      </c>
      <c r="H141" s="29" t="s">
        <v>11</v>
      </c>
    </row>
    <row r="142" spans="1:8">
      <c r="A142" s="76" t="s">
        <v>70</v>
      </c>
      <c r="B142" s="85">
        <f>ROUND((SUM(E142:H142)),0)</f>
        <v>382000</v>
      </c>
      <c r="C142" s="78" t="s">
        <v>73</v>
      </c>
      <c r="D142" s="86"/>
      <c r="E142" s="80">
        <f>SUM(E140:E141)</f>
        <v>0</v>
      </c>
      <c r="F142" s="80">
        <f>SUM(F140:F141)</f>
        <v>280000</v>
      </c>
      <c r="G142" s="80">
        <f>SUM(G140:G141)</f>
        <v>102000</v>
      </c>
      <c r="H142" s="80">
        <f>SUM(H140:H141)</f>
        <v>0</v>
      </c>
    </row>
    <row r="144" spans="1:8">
      <c r="A144" s="63" t="s">
        <v>168</v>
      </c>
    </row>
    <row r="145" spans="1:8">
      <c r="A145" s="63"/>
      <c r="E145" s="68" t="s">
        <v>61</v>
      </c>
      <c r="F145" s="68" t="s">
        <v>62</v>
      </c>
      <c r="G145" s="68" t="s">
        <v>63</v>
      </c>
      <c r="H145" s="68" t="s">
        <v>64</v>
      </c>
    </row>
    <row r="146" spans="1:8">
      <c r="A146" s="29" t="s">
        <v>169</v>
      </c>
      <c r="B146" s="82">
        <v>1</v>
      </c>
      <c r="C146" s="30" t="s">
        <v>49</v>
      </c>
      <c r="D146" s="9">
        <v>230000</v>
      </c>
      <c r="E146" s="29" t="s">
        <v>11</v>
      </c>
      <c r="F146" s="83">
        <f>B146*D146</f>
        <v>230000</v>
      </c>
      <c r="G146" s="9" t="s">
        <v>11</v>
      </c>
      <c r="H146" s="29" t="s">
        <v>11</v>
      </c>
    </row>
    <row r="147" spans="1:8">
      <c r="A147" s="29" t="s">
        <v>68</v>
      </c>
      <c r="B147" s="84">
        <v>0.5</v>
      </c>
      <c r="C147" s="30" t="s">
        <v>69</v>
      </c>
      <c r="D147" s="9">
        <v>170000</v>
      </c>
      <c r="E147" s="29" t="s">
        <v>11</v>
      </c>
      <c r="F147" s="29" t="s">
        <v>11</v>
      </c>
      <c r="G147" s="9">
        <f>B147*D147</f>
        <v>85000</v>
      </c>
      <c r="H147" s="29" t="s">
        <v>11</v>
      </c>
    </row>
    <row r="148" spans="1:8">
      <c r="A148" s="76" t="s">
        <v>70</v>
      </c>
      <c r="B148" s="85">
        <f>ROUND((SUM(E148:H148)),0)</f>
        <v>315000</v>
      </c>
      <c r="C148" s="78" t="s">
        <v>73</v>
      </c>
      <c r="D148" s="86"/>
      <c r="E148" s="80">
        <f>SUM(E146:E147)</f>
        <v>0</v>
      </c>
      <c r="F148" s="80">
        <f>SUM(F146:F147)</f>
        <v>230000</v>
      </c>
      <c r="G148" s="80">
        <f>SUM(G146:G147)</f>
        <v>85000</v>
      </c>
      <c r="H148" s="80">
        <f>SUM(H146:H147)</f>
        <v>0</v>
      </c>
    </row>
    <row r="150" spans="1:8">
      <c r="A150" s="63" t="s">
        <v>170</v>
      </c>
    </row>
    <row r="151" spans="1:8">
      <c r="A151" s="63"/>
      <c r="E151" s="68" t="s">
        <v>61</v>
      </c>
      <c r="F151" s="68" t="s">
        <v>62</v>
      </c>
      <c r="G151" s="68" t="s">
        <v>63</v>
      </c>
      <c r="H151" s="68" t="s">
        <v>64</v>
      </c>
    </row>
    <row r="152" spans="1:8">
      <c r="A152" s="29" t="s">
        <v>171</v>
      </c>
      <c r="B152" s="82">
        <v>1</v>
      </c>
      <c r="C152" s="30" t="s">
        <v>49</v>
      </c>
      <c r="D152" s="9">
        <v>150000</v>
      </c>
      <c r="E152" s="29" t="s">
        <v>11</v>
      </c>
      <c r="F152" s="83">
        <f>B152*D152</f>
        <v>150000</v>
      </c>
      <c r="G152" s="9" t="s">
        <v>11</v>
      </c>
      <c r="H152" s="29" t="s">
        <v>11</v>
      </c>
    </row>
    <row r="153" spans="1:8">
      <c r="A153" s="29" t="s">
        <v>97</v>
      </c>
      <c r="B153" s="82">
        <v>1</v>
      </c>
      <c r="C153" s="30" t="s">
        <v>8</v>
      </c>
      <c r="D153" s="9">
        <v>160000</v>
      </c>
      <c r="E153" s="29"/>
      <c r="F153" s="83">
        <f>B153*D153</f>
        <v>160000</v>
      </c>
      <c r="G153" s="9"/>
      <c r="H153" s="29"/>
    </row>
    <row r="154" spans="1:8">
      <c r="A154" s="29" t="s">
        <v>95</v>
      </c>
      <c r="B154" s="82">
        <v>1</v>
      </c>
      <c r="C154" s="30" t="s">
        <v>49</v>
      </c>
      <c r="D154" s="9">
        <v>300000</v>
      </c>
      <c r="E154" s="29" t="s">
        <v>11</v>
      </c>
      <c r="F154" s="83">
        <f>B154*D154</f>
        <v>300000</v>
      </c>
      <c r="G154" s="9" t="s">
        <v>11</v>
      </c>
      <c r="H154" s="29" t="s">
        <v>11</v>
      </c>
    </row>
    <row r="155" spans="1:8">
      <c r="A155" s="29" t="s">
        <v>161</v>
      </c>
      <c r="B155" s="82">
        <v>3</v>
      </c>
      <c r="C155" s="30" t="s">
        <v>8</v>
      </c>
      <c r="D155" s="9">
        <v>45000</v>
      </c>
      <c r="E155" s="29"/>
      <c r="F155" s="83">
        <f>B155*D155</f>
        <v>135000</v>
      </c>
      <c r="G155" s="9"/>
      <c r="H155" s="29"/>
    </row>
    <row r="156" spans="1:8">
      <c r="A156" s="29" t="s">
        <v>163</v>
      </c>
      <c r="B156" s="82">
        <v>1</v>
      </c>
      <c r="C156" s="30" t="s">
        <v>8</v>
      </c>
      <c r="D156" s="9">
        <v>150000</v>
      </c>
      <c r="E156" s="29"/>
      <c r="F156" s="83">
        <f>B156*D156</f>
        <v>150000</v>
      </c>
      <c r="G156" s="9"/>
      <c r="H156" s="29"/>
    </row>
    <row r="157" spans="1:8">
      <c r="A157" s="29" t="s">
        <v>68</v>
      </c>
      <c r="B157" s="89">
        <v>0.9</v>
      </c>
      <c r="C157" s="30" t="s">
        <v>69</v>
      </c>
      <c r="D157" s="9">
        <v>170000</v>
      </c>
      <c r="E157" s="29" t="s">
        <v>11</v>
      </c>
      <c r="F157" s="29" t="s">
        <v>11</v>
      </c>
      <c r="G157" s="9">
        <f>B157*D157</f>
        <v>153000</v>
      </c>
      <c r="H157" s="29" t="s">
        <v>11</v>
      </c>
    </row>
    <row r="158" spans="1:8">
      <c r="A158" s="76" t="s">
        <v>70</v>
      </c>
      <c r="B158" s="85">
        <f>ROUND((SUM(E158:H158)),0)</f>
        <v>1048000</v>
      </c>
      <c r="C158" s="78" t="s">
        <v>73</v>
      </c>
      <c r="D158" s="86"/>
      <c r="E158" s="80">
        <f>SUM(E152:E157)</f>
        <v>0</v>
      </c>
      <c r="F158" s="80">
        <f>SUM(F152:F157)</f>
        <v>895000</v>
      </c>
      <c r="G158" s="80">
        <f>SUM(G152:G157)</f>
        <v>153000</v>
      </c>
      <c r="H158" s="80">
        <f>SUM(H152:H157)</f>
        <v>0</v>
      </c>
    </row>
    <row r="159" spans="1:8">
      <c r="A159" s="122"/>
      <c r="B159" s="123"/>
      <c r="C159" s="124"/>
      <c r="D159" s="125"/>
      <c r="E159" s="126"/>
      <c r="F159" s="126"/>
      <c r="G159" s="126"/>
      <c r="H159" s="126"/>
    </row>
    <row r="160" spans="1:8">
      <c r="A160" s="63" t="s">
        <v>172</v>
      </c>
    </row>
    <row r="161" spans="1:8">
      <c r="A161" s="63"/>
      <c r="E161" s="68" t="s">
        <v>61</v>
      </c>
      <c r="F161" s="68" t="s">
        <v>62</v>
      </c>
      <c r="G161" s="68" t="s">
        <v>63</v>
      </c>
      <c r="H161" s="68" t="s">
        <v>64</v>
      </c>
    </row>
    <row r="162" spans="1:8" s="121" customFormat="1" ht="14.25">
      <c r="A162" s="90" t="s">
        <v>173</v>
      </c>
      <c r="B162" s="82">
        <v>1</v>
      </c>
      <c r="C162" s="30" t="s">
        <v>8</v>
      </c>
      <c r="D162" s="9">
        <v>1500000</v>
      </c>
      <c r="E162" s="29" t="s">
        <v>11</v>
      </c>
      <c r="F162" s="83">
        <f>B162*D162</f>
        <v>1500000</v>
      </c>
      <c r="G162" s="9" t="s">
        <v>11</v>
      </c>
      <c r="H162" s="29" t="s">
        <v>11</v>
      </c>
    </row>
    <row r="163" spans="1:8" s="121" customFormat="1" ht="14.25">
      <c r="A163" s="90" t="s">
        <v>174</v>
      </c>
      <c r="B163" s="82">
        <v>1</v>
      </c>
      <c r="C163" s="30" t="s">
        <v>8</v>
      </c>
      <c r="D163" s="9">
        <v>3560000</v>
      </c>
      <c r="E163" s="29" t="s">
        <v>11</v>
      </c>
      <c r="F163" s="83">
        <f>B163*D163</f>
        <v>3560000</v>
      </c>
      <c r="G163" s="9" t="s">
        <v>11</v>
      </c>
      <c r="H163" s="29" t="s">
        <v>11</v>
      </c>
    </row>
    <row r="164" spans="1:8" s="121" customFormat="1" ht="14.25">
      <c r="A164" s="90" t="s">
        <v>175</v>
      </c>
      <c r="B164" s="82">
        <v>1</v>
      </c>
      <c r="C164" s="30" t="s">
        <v>8</v>
      </c>
      <c r="D164" s="9">
        <v>2000000</v>
      </c>
      <c r="E164" s="29" t="s">
        <v>11</v>
      </c>
      <c r="F164" s="83">
        <f>B164*D164</f>
        <v>2000000</v>
      </c>
      <c r="G164" s="9" t="s">
        <v>11</v>
      </c>
      <c r="H164" s="29" t="s">
        <v>11</v>
      </c>
    </row>
    <row r="165" spans="1:8" s="121" customFormat="1" ht="14.25">
      <c r="A165" s="90" t="s">
        <v>68</v>
      </c>
      <c r="B165" s="84">
        <v>2.7</v>
      </c>
      <c r="C165" s="30" t="s">
        <v>69</v>
      </c>
      <c r="D165" s="9">
        <v>170000</v>
      </c>
      <c r="E165" s="29" t="s">
        <v>11</v>
      </c>
      <c r="F165" s="29" t="s">
        <v>11</v>
      </c>
      <c r="G165" s="9">
        <f>B165*D165</f>
        <v>459000.00000000006</v>
      </c>
      <c r="H165" s="29" t="s">
        <v>11</v>
      </c>
    </row>
    <row r="166" spans="1:8">
      <c r="A166" s="76" t="s">
        <v>70</v>
      </c>
      <c r="B166" s="85">
        <f>ROUND((SUM(E166:H166)),0)</f>
        <v>7519000</v>
      </c>
      <c r="C166" s="78" t="s">
        <v>71</v>
      </c>
      <c r="D166" s="86"/>
      <c r="E166" s="80">
        <f>SUM(E162:E165)</f>
        <v>0</v>
      </c>
      <c r="F166" s="80">
        <f>SUM(F162:F165)</f>
        <v>7060000</v>
      </c>
      <c r="G166" s="80">
        <f>SUM(G162:G165)</f>
        <v>459000.00000000006</v>
      </c>
      <c r="H166" s="80">
        <f>SUM(H162:H165)</f>
        <v>0</v>
      </c>
    </row>
    <row r="167" spans="1:8">
      <c r="A167" s="122"/>
      <c r="B167" s="123"/>
      <c r="C167" s="124"/>
      <c r="D167" s="125"/>
      <c r="E167" s="126"/>
      <c r="F167" s="126"/>
      <c r="G167" s="126"/>
      <c r="H167" s="126"/>
    </row>
    <row r="168" spans="1:8">
      <c r="A168" s="63" t="s">
        <v>176</v>
      </c>
    </row>
    <row r="169" spans="1:8">
      <c r="A169" s="63"/>
      <c r="E169" s="68" t="s">
        <v>61</v>
      </c>
      <c r="F169" s="68" t="s">
        <v>62</v>
      </c>
      <c r="G169" s="68" t="s">
        <v>63</v>
      </c>
      <c r="H169" s="68" t="s">
        <v>64</v>
      </c>
    </row>
    <row r="170" spans="1:8" s="121" customFormat="1" ht="14.25">
      <c r="A170" s="29" t="s">
        <v>149</v>
      </c>
      <c r="B170" s="82">
        <v>8</v>
      </c>
      <c r="C170" s="30" t="s">
        <v>66</v>
      </c>
      <c r="D170" s="9">
        <v>9390</v>
      </c>
      <c r="E170" s="29" t="s">
        <v>11</v>
      </c>
      <c r="F170" s="83">
        <f>B170*D170</f>
        <v>75120</v>
      </c>
      <c r="G170" s="9" t="s">
        <v>11</v>
      </c>
      <c r="H170" s="29" t="s">
        <v>11</v>
      </c>
    </row>
    <row r="171" spans="1:8" s="121" customFormat="1" ht="14.25">
      <c r="A171" s="29" t="s">
        <v>98</v>
      </c>
      <c r="B171" s="82">
        <v>1</v>
      </c>
      <c r="C171" s="30" t="s">
        <v>66</v>
      </c>
      <c r="D171" s="9">
        <v>6100</v>
      </c>
      <c r="E171" s="29" t="s">
        <v>11</v>
      </c>
      <c r="F171" s="83">
        <f>B171*D171</f>
        <v>6100</v>
      </c>
      <c r="G171" s="9" t="s">
        <v>11</v>
      </c>
      <c r="H171" s="29" t="s">
        <v>11</v>
      </c>
    </row>
    <row r="172" spans="1:8" s="121" customFormat="1" ht="14.25">
      <c r="A172" s="90" t="s">
        <v>67</v>
      </c>
      <c r="B172" s="82">
        <v>3</v>
      </c>
      <c r="C172" s="30" t="s">
        <v>66</v>
      </c>
      <c r="D172" s="9">
        <v>6575</v>
      </c>
      <c r="E172" s="29" t="s">
        <v>11</v>
      </c>
      <c r="F172" s="83">
        <f>B172*D172</f>
        <v>19725</v>
      </c>
      <c r="G172" s="9" t="s">
        <v>11</v>
      </c>
      <c r="H172" s="29" t="s">
        <v>11</v>
      </c>
    </row>
    <row r="173" spans="1:8" s="121" customFormat="1" ht="14.25">
      <c r="A173" s="90" t="s">
        <v>68</v>
      </c>
      <c r="B173" s="96">
        <v>0.11799999999999999</v>
      </c>
      <c r="C173" s="30" t="s">
        <v>69</v>
      </c>
      <c r="D173" s="9">
        <v>170000</v>
      </c>
      <c r="E173" s="29" t="s">
        <v>11</v>
      </c>
      <c r="F173" s="29" t="s">
        <v>11</v>
      </c>
      <c r="G173" s="9">
        <f>B173*D173</f>
        <v>20060</v>
      </c>
      <c r="H173" s="29" t="s">
        <v>11</v>
      </c>
    </row>
    <row r="174" spans="1:8">
      <c r="A174" s="76" t="s">
        <v>70</v>
      </c>
      <c r="B174" s="85">
        <f>ROUND((SUM(E174:H174)),0)</f>
        <v>121005</v>
      </c>
      <c r="C174" s="78" t="s">
        <v>71</v>
      </c>
      <c r="D174" s="86"/>
      <c r="E174" s="80">
        <f>SUM(E170:E173)</f>
        <v>0</v>
      </c>
      <c r="F174" s="80">
        <f>SUM(F170:F173)</f>
        <v>100945</v>
      </c>
      <c r="G174" s="80">
        <f>SUM(G170:G173)</f>
        <v>20060</v>
      </c>
      <c r="H174" s="80">
        <f>SUM(H170:H173)</f>
        <v>0</v>
      </c>
    </row>
    <row r="175" spans="1:8">
      <c r="A175" s="122"/>
      <c r="B175" s="123"/>
      <c r="C175" s="124"/>
      <c r="D175" s="125"/>
      <c r="E175" s="126"/>
      <c r="F175" s="126"/>
      <c r="G175" s="126"/>
      <c r="H175" s="126"/>
    </row>
    <row r="176" spans="1:8">
      <c r="A176" s="63" t="s">
        <v>177</v>
      </c>
    </row>
    <row r="177" spans="1:8">
      <c r="A177" s="63"/>
      <c r="E177" s="68" t="s">
        <v>61</v>
      </c>
      <c r="F177" s="68" t="s">
        <v>62</v>
      </c>
      <c r="G177" s="68" t="s">
        <v>63</v>
      </c>
      <c r="H177" s="68" t="s">
        <v>64</v>
      </c>
    </row>
    <row r="178" spans="1:8" s="121" customFormat="1" ht="14.25">
      <c r="A178" s="29" t="s">
        <v>149</v>
      </c>
      <c r="B178" s="82">
        <v>8</v>
      </c>
      <c r="C178" s="30" t="s">
        <v>66</v>
      </c>
      <c r="D178" s="9">
        <v>9390</v>
      </c>
      <c r="E178" s="29" t="s">
        <v>11</v>
      </c>
      <c r="F178" s="83">
        <f>B178*D178</f>
        <v>75120</v>
      </c>
      <c r="G178" s="9" t="s">
        <v>11</v>
      </c>
      <c r="H178" s="29" t="s">
        <v>11</v>
      </c>
    </row>
    <row r="179" spans="1:8" s="121" customFormat="1" ht="14.25">
      <c r="A179" s="29" t="s">
        <v>98</v>
      </c>
      <c r="B179" s="82">
        <v>1</v>
      </c>
      <c r="C179" s="30" t="s">
        <v>66</v>
      </c>
      <c r="D179" s="9">
        <v>6100</v>
      </c>
      <c r="E179" s="29" t="s">
        <v>11</v>
      </c>
      <c r="F179" s="83">
        <f>B179*D179</f>
        <v>6100</v>
      </c>
      <c r="G179" s="9" t="s">
        <v>11</v>
      </c>
      <c r="H179" s="29" t="s">
        <v>11</v>
      </c>
    </row>
    <row r="180" spans="1:8" s="121" customFormat="1" ht="14.25">
      <c r="A180" s="90" t="s">
        <v>67</v>
      </c>
      <c r="B180" s="82">
        <v>2</v>
      </c>
      <c r="C180" s="30" t="s">
        <v>66</v>
      </c>
      <c r="D180" s="9">
        <v>6575</v>
      </c>
      <c r="E180" s="29" t="s">
        <v>11</v>
      </c>
      <c r="F180" s="83">
        <f>B180*D180</f>
        <v>13150</v>
      </c>
      <c r="G180" s="9" t="s">
        <v>11</v>
      </c>
      <c r="H180" s="29" t="s">
        <v>11</v>
      </c>
    </row>
    <row r="181" spans="1:8" s="121" customFormat="1" ht="14.25">
      <c r="A181" s="90" t="s">
        <v>68</v>
      </c>
      <c r="B181" s="96">
        <v>0.11799999999999999</v>
      </c>
      <c r="C181" s="30" t="s">
        <v>69</v>
      </c>
      <c r="D181" s="9">
        <v>170000</v>
      </c>
      <c r="E181" s="29" t="s">
        <v>11</v>
      </c>
      <c r="F181" s="29" t="s">
        <v>11</v>
      </c>
      <c r="G181" s="9">
        <f>B181*D181</f>
        <v>20060</v>
      </c>
      <c r="H181" s="29" t="s">
        <v>11</v>
      </c>
    </row>
    <row r="182" spans="1:8">
      <c r="A182" s="76" t="s">
        <v>70</v>
      </c>
      <c r="B182" s="85">
        <f>ROUND((SUM(E182:H182)),0)</f>
        <v>114430</v>
      </c>
      <c r="C182" s="78" t="s">
        <v>71</v>
      </c>
      <c r="D182" s="86"/>
      <c r="E182" s="80">
        <f>SUM(E178:E181)</f>
        <v>0</v>
      </c>
      <c r="F182" s="80">
        <f>SUM(F178:F181)</f>
        <v>94370</v>
      </c>
      <c r="G182" s="80">
        <f>SUM(G178:G181)</f>
        <v>20060</v>
      </c>
      <c r="H182" s="80">
        <f>SUM(H178:H181)</f>
        <v>0</v>
      </c>
    </row>
    <row r="183" spans="1:8">
      <c r="A183" s="122"/>
      <c r="B183" s="123"/>
      <c r="C183" s="124"/>
      <c r="D183" s="125"/>
      <c r="E183" s="126"/>
      <c r="F183" s="126"/>
      <c r="G183" s="126"/>
      <c r="H183" s="126"/>
    </row>
    <row r="184" spans="1:8" s="50" customFormat="1">
      <c r="A184" s="63" t="s">
        <v>178</v>
      </c>
      <c r="B184" s="64"/>
      <c r="C184" s="65"/>
      <c r="D184" s="66"/>
      <c r="E184" s="64"/>
      <c r="F184" s="64"/>
      <c r="G184" s="64"/>
      <c r="H184" s="64"/>
    </row>
    <row r="185" spans="1:8" s="50" customFormat="1">
      <c r="A185" s="63"/>
      <c r="B185" s="64"/>
      <c r="C185" s="65"/>
      <c r="D185" s="66"/>
      <c r="E185" s="68" t="s">
        <v>61</v>
      </c>
      <c r="F185" s="68" t="s">
        <v>62</v>
      </c>
      <c r="G185" s="68" t="s">
        <v>63</v>
      </c>
      <c r="H185" s="68" t="s">
        <v>64</v>
      </c>
    </row>
    <row r="186" spans="1:8" s="50" customFormat="1">
      <c r="A186" s="6" t="s">
        <v>128</v>
      </c>
      <c r="B186" s="115">
        <v>1</v>
      </c>
      <c r="C186" s="27" t="s">
        <v>49</v>
      </c>
      <c r="D186" s="8">
        <v>280590</v>
      </c>
      <c r="E186" s="6" t="s">
        <v>11</v>
      </c>
      <c r="F186" s="6">
        <f>B186*D186</f>
        <v>280590</v>
      </c>
      <c r="G186" s="8" t="s">
        <v>11</v>
      </c>
      <c r="H186" s="127"/>
    </row>
    <row r="187" spans="1:8" s="50" customFormat="1">
      <c r="A187" s="129" t="s">
        <v>70</v>
      </c>
      <c r="B187" s="85">
        <f>ROUND((SUM(E187:H187)),0)</f>
        <v>280590</v>
      </c>
      <c r="C187" s="130" t="s">
        <v>73</v>
      </c>
      <c r="D187" s="131"/>
      <c r="E187" s="132">
        <f>SUM(E186:E186)</f>
        <v>0</v>
      </c>
      <c r="F187" s="132">
        <f>SUM(F186:F186)</f>
        <v>280590</v>
      </c>
      <c r="G187" s="132">
        <f>SUM(G186:G186)</f>
        <v>0</v>
      </c>
      <c r="H187" s="132">
        <f>SUM(H186:H186)</f>
        <v>0</v>
      </c>
    </row>
    <row r="188" spans="1:8">
      <c r="A188" s="122"/>
      <c r="B188" s="123"/>
      <c r="C188" s="124"/>
      <c r="D188" s="125"/>
      <c r="E188" s="126"/>
      <c r="F188" s="126"/>
      <c r="G188" s="126"/>
      <c r="H188" s="126"/>
    </row>
    <row r="189" spans="1:8">
      <c r="A189" s="63" t="s">
        <v>179</v>
      </c>
    </row>
    <row r="190" spans="1:8">
      <c r="A190" s="63"/>
      <c r="E190" s="68" t="s">
        <v>61</v>
      </c>
      <c r="F190" s="68" t="s">
        <v>62</v>
      </c>
      <c r="G190" s="68" t="s">
        <v>63</v>
      </c>
      <c r="H190" s="68" t="s">
        <v>64</v>
      </c>
    </row>
    <row r="191" spans="1:8" s="121" customFormat="1" ht="14.25">
      <c r="A191" s="29" t="s">
        <v>149</v>
      </c>
      <c r="B191" s="82">
        <v>4</v>
      </c>
      <c r="C191" s="30" t="s">
        <v>66</v>
      </c>
      <c r="D191" s="9">
        <v>9390</v>
      </c>
      <c r="E191" s="29" t="s">
        <v>11</v>
      </c>
      <c r="F191" s="83">
        <f>B191*D191</f>
        <v>37560</v>
      </c>
      <c r="G191" s="9" t="s">
        <v>11</v>
      </c>
      <c r="H191" s="29" t="s">
        <v>11</v>
      </c>
    </row>
    <row r="192" spans="1:8" s="121" customFormat="1" ht="14.25">
      <c r="A192" s="29" t="s">
        <v>98</v>
      </c>
      <c r="B192" s="82">
        <v>1</v>
      </c>
      <c r="C192" s="30" t="s">
        <v>66</v>
      </c>
      <c r="D192" s="9">
        <v>6100</v>
      </c>
      <c r="E192" s="29" t="s">
        <v>11</v>
      </c>
      <c r="F192" s="83">
        <f>B192*D192</f>
        <v>6100</v>
      </c>
      <c r="G192" s="9" t="s">
        <v>11</v>
      </c>
      <c r="H192" s="29" t="s">
        <v>11</v>
      </c>
    </row>
    <row r="193" spans="1:8" s="121" customFormat="1" ht="14.25">
      <c r="A193" s="29" t="s">
        <v>180</v>
      </c>
      <c r="B193" s="82">
        <v>1</v>
      </c>
      <c r="C193" s="30" t="s">
        <v>66</v>
      </c>
      <c r="D193" s="9">
        <v>1883</v>
      </c>
      <c r="E193" s="29" t="s">
        <v>11</v>
      </c>
      <c r="F193" s="83">
        <f>B193*D193</f>
        <v>1883</v>
      </c>
      <c r="G193" s="9" t="s">
        <v>11</v>
      </c>
      <c r="H193" s="29" t="s">
        <v>11</v>
      </c>
    </row>
    <row r="194" spans="1:8" s="121" customFormat="1" ht="14.25">
      <c r="A194" s="29" t="s">
        <v>68</v>
      </c>
      <c r="B194" s="89">
        <v>0.05</v>
      </c>
      <c r="C194" s="30" t="s">
        <v>69</v>
      </c>
      <c r="D194" s="9">
        <v>170000</v>
      </c>
      <c r="E194" s="29" t="s">
        <v>11</v>
      </c>
      <c r="F194" s="83"/>
      <c r="G194" s="9">
        <f>B194*D194</f>
        <v>8500</v>
      </c>
      <c r="H194" s="29" t="s">
        <v>11</v>
      </c>
    </row>
    <row r="195" spans="1:8">
      <c r="A195" s="76" t="s">
        <v>70</v>
      </c>
      <c r="B195" s="85">
        <f>ROUND((SUM(E195:H195)),0)</f>
        <v>54043</v>
      </c>
      <c r="C195" s="78" t="s">
        <v>71</v>
      </c>
      <c r="D195" s="86"/>
      <c r="E195" s="80">
        <f>SUM(E191:E194)</f>
        <v>0</v>
      </c>
      <c r="F195" s="80">
        <f>SUM(F191:F194)</f>
        <v>45543</v>
      </c>
      <c r="G195" s="80">
        <f>SUM(G191:G194)</f>
        <v>8500</v>
      </c>
      <c r="H195" s="80">
        <f>SUM(H191:H194)</f>
        <v>0</v>
      </c>
    </row>
    <row r="196" spans="1:8">
      <c r="A196" s="122"/>
      <c r="B196" s="123"/>
      <c r="C196" s="124"/>
      <c r="D196" s="125"/>
      <c r="E196" s="126"/>
      <c r="F196" s="126"/>
      <c r="G196" s="126"/>
      <c r="H196" s="126"/>
    </row>
    <row r="197" spans="1:8">
      <c r="A197" s="63" t="s">
        <v>181</v>
      </c>
    </row>
    <row r="198" spans="1:8">
      <c r="A198" s="63"/>
      <c r="E198" s="68" t="s">
        <v>61</v>
      </c>
      <c r="F198" s="68" t="s">
        <v>62</v>
      </c>
      <c r="G198" s="68" t="s">
        <v>63</v>
      </c>
      <c r="H198" s="68" t="s">
        <v>64</v>
      </c>
    </row>
    <row r="199" spans="1:8" s="121" customFormat="1" ht="14.25">
      <c r="A199" s="90" t="s">
        <v>182</v>
      </c>
      <c r="B199" s="82">
        <v>4</v>
      </c>
      <c r="C199" s="30" t="s">
        <v>66</v>
      </c>
      <c r="D199" s="9">
        <v>15340</v>
      </c>
      <c r="E199" s="29" t="s">
        <v>11</v>
      </c>
      <c r="F199" s="83">
        <f>B199*D199</f>
        <v>61360</v>
      </c>
      <c r="G199" s="9" t="s">
        <v>11</v>
      </c>
      <c r="H199" s="29" t="s">
        <v>11</v>
      </c>
    </row>
    <row r="200" spans="1:8" s="121" customFormat="1" ht="14.25">
      <c r="A200" s="90" t="s">
        <v>183</v>
      </c>
      <c r="B200" s="82">
        <v>1</v>
      </c>
      <c r="C200" s="30" t="s">
        <v>18</v>
      </c>
      <c r="D200" s="9">
        <v>9390</v>
      </c>
      <c r="E200" s="29"/>
      <c r="F200" s="83">
        <f>B200*D200</f>
        <v>9390</v>
      </c>
      <c r="G200" s="9"/>
      <c r="H200" s="29"/>
    </row>
    <row r="201" spans="1:8" s="121" customFormat="1" ht="14.25">
      <c r="A201" s="90" t="s">
        <v>67</v>
      </c>
      <c r="B201" s="82">
        <v>1</v>
      </c>
      <c r="C201" s="30" t="s">
        <v>66</v>
      </c>
      <c r="D201" s="9">
        <v>6575</v>
      </c>
      <c r="E201" s="29" t="s">
        <v>11</v>
      </c>
      <c r="F201" s="83">
        <f>B201*D201</f>
        <v>6575</v>
      </c>
      <c r="G201" s="9" t="s">
        <v>11</v>
      </c>
      <c r="H201" s="29" t="s">
        <v>11</v>
      </c>
    </row>
    <row r="202" spans="1:8" s="121" customFormat="1" ht="14.25">
      <c r="A202" s="90" t="s">
        <v>68</v>
      </c>
      <c r="B202" s="96">
        <v>5.8999999999999997E-2</v>
      </c>
      <c r="C202" s="30" t="s">
        <v>69</v>
      </c>
      <c r="D202" s="9">
        <v>170000</v>
      </c>
      <c r="E202" s="29" t="s">
        <v>11</v>
      </c>
      <c r="F202" s="29" t="s">
        <v>11</v>
      </c>
      <c r="G202" s="9">
        <f>B202*D202</f>
        <v>10030</v>
      </c>
      <c r="H202" s="29" t="s">
        <v>11</v>
      </c>
    </row>
    <row r="203" spans="1:8">
      <c r="A203" s="76" t="s">
        <v>70</v>
      </c>
      <c r="B203" s="85">
        <f>ROUND((SUM(E203:H203)),0)</f>
        <v>87355</v>
      </c>
      <c r="C203" s="78" t="s">
        <v>71</v>
      </c>
      <c r="D203" s="86"/>
      <c r="E203" s="80">
        <f>SUM(E199:E202)</f>
        <v>0</v>
      </c>
      <c r="F203" s="80">
        <f>SUM(F199:F202)</f>
        <v>77325</v>
      </c>
      <c r="G203" s="80">
        <f>SUM(G199:G202)</f>
        <v>10030</v>
      </c>
      <c r="H203" s="80">
        <f>SUM(H199:H202)</f>
        <v>0</v>
      </c>
    </row>
    <row r="205" spans="1:8">
      <c r="A205" s="63" t="s">
        <v>184</v>
      </c>
    </row>
    <row r="206" spans="1:8">
      <c r="A206" s="63"/>
      <c r="E206" s="68" t="s">
        <v>61</v>
      </c>
      <c r="F206" s="68" t="s">
        <v>62</v>
      </c>
      <c r="G206" s="68" t="s">
        <v>63</v>
      </c>
      <c r="H206" s="68" t="s">
        <v>64</v>
      </c>
    </row>
    <row r="207" spans="1:8" s="121" customFormat="1" ht="14.25">
      <c r="A207" s="90" t="s">
        <v>185</v>
      </c>
      <c r="B207" s="82">
        <v>4</v>
      </c>
      <c r="C207" s="30" t="s">
        <v>66</v>
      </c>
      <c r="D207" s="9">
        <v>6100</v>
      </c>
      <c r="E207" s="29" t="s">
        <v>11</v>
      </c>
      <c r="F207" s="83">
        <f>B207*D207</f>
        <v>24400</v>
      </c>
      <c r="G207" s="9" t="s">
        <v>11</v>
      </c>
      <c r="H207" s="29" t="s">
        <v>11</v>
      </c>
    </row>
    <row r="208" spans="1:8" s="121" customFormat="1" ht="14.25">
      <c r="A208" s="29" t="s">
        <v>99</v>
      </c>
      <c r="B208" s="82">
        <v>1</v>
      </c>
      <c r="C208" s="30" t="s">
        <v>66</v>
      </c>
      <c r="D208" s="9">
        <v>2541</v>
      </c>
      <c r="E208" s="29" t="s">
        <v>11</v>
      </c>
      <c r="F208" s="83">
        <f>B208*D208</f>
        <v>2541</v>
      </c>
      <c r="G208" s="9" t="s">
        <v>11</v>
      </c>
      <c r="H208" s="29" t="s">
        <v>11</v>
      </c>
    </row>
    <row r="209" spans="1:8" s="121" customFormat="1" ht="14.25">
      <c r="A209" s="90" t="s">
        <v>186</v>
      </c>
      <c r="B209" s="82">
        <v>1</v>
      </c>
      <c r="C209" s="30" t="s">
        <v>66</v>
      </c>
      <c r="D209" s="9">
        <v>1200</v>
      </c>
      <c r="E209" s="29" t="s">
        <v>11</v>
      </c>
      <c r="F209" s="83">
        <f>B209*D209</f>
        <v>1200</v>
      </c>
      <c r="G209" s="9" t="s">
        <v>11</v>
      </c>
      <c r="H209" s="29" t="s">
        <v>11</v>
      </c>
    </row>
    <row r="210" spans="1:8" s="121" customFormat="1" ht="14.25">
      <c r="A210" s="90" t="s">
        <v>68</v>
      </c>
      <c r="B210" s="91">
        <v>3.5310000000000001E-2</v>
      </c>
      <c r="C210" s="30" t="s">
        <v>69</v>
      </c>
      <c r="D210" s="9">
        <v>170000</v>
      </c>
      <c r="E210" s="29" t="s">
        <v>11</v>
      </c>
      <c r="F210" s="29" t="s">
        <v>11</v>
      </c>
      <c r="G210" s="9">
        <f>B210*D210</f>
        <v>6002.7</v>
      </c>
      <c r="H210" s="29" t="s">
        <v>11</v>
      </c>
    </row>
    <row r="211" spans="1:8">
      <c r="A211" s="76" t="s">
        <v>70</v>
      </c>
      <c r="B211" s="85">
        <f>ROUND((SUM(E211:H211)),0)</f>
        <v>34144</v>
      </c>
      <c r="C211" s="78" t="s">
        <v>71</v>
      </c>
      <c r="D211" s="86"/>
      <c r="E211" s="80">
        <f>SUM(E207:E210)</f>
        <v>0</v>
      </c>
      <c r="F211" s="80">
        <f>SUM(F207:F210)</f>
        <v>28141</v>
      </c>
      <c r="G211" s="80">
        <f>SUM(G207:G210)</f>
        <v>6002.7</v>
      </c>
      <c r="H211" s="80">
        <f>SUM(H207:H210)</f>
        <v>0</v>
      </c>
    </row>
    <row r="213" spans="1:8">
      <c r="A213" s="63" t="s">
        <v>187</v>
      </c>
    </row>
    <row r="214" spans="1:8">
      <c r="A214" s="63"/>
      <c r="E214" s="68" t="s">
        <v>61</v>
      </c>
      <c r="F214" s="68" t="s">
        <v>62</v>
      </c>
      <c r="G214" s="68" t="s">
        <v>63</v>
      </c>
      <c r="H214" s="68" t="s">
        <v>64</v>
      </c>
    </row>
    <row r="215" spans="1:8" s="121" customFormat="1" ht="14.25">
      <c r="A215" s="29" t="s">
        <v>100</v>
      </c>
      <c r="B215" s="82">
        <v>4</v>
      </c>
      <c r="C215" s="30" t="s">
        <v>66</v>
      </c>
      <c r="D215" s="9">
        <v>3923</v>
      </c>
      <c r="E215" s="29" t="s">
        <v>11</v>
      </c>
      <c r="F215" s="83">
        <f>B215*D215</f>
        <v>15692</v>
      </c>
      <c r="G215" s="9" t="s">
        <v>11</v>
      </c>
      <c r="H215" s="29" t="s">
        <v>11</v>
      </c>
    </row>
    <row r="216" spans="1:8" s="121" customFormat="1" ht="14.25">
      <c r="A216" s="29" t="s">
        <v>99</v>
      </c>
      <c r="B216" s="82">
        <v>1</v>
      </c>
      <c r="C216" s="30" t="s">
        <v>66</v>
      </c>
      <c r="D216" s="9">
        <v>2541</v>
      </c>
      <c r="E216" s="29" t="s">
        <v>11</v>
      </c>
      <c r="F216" s="83">
        <f>B216*D216</f>
        <v>2541</v>
      </c>
      <c r="G216" s="9" t="s">
        <v>11</v>
      </c>
      <c r="H216" s="29" t="s">
        <v>11</v>
      </c>
    </row>
    <row r="217" spans="1:8" s="121" customFormat="1" ht="14.25">
      <c r="A217" s="29" t="s">
        <v>188</v>
      </c>
      <c r="B217" s="82">
        <v>1</v>
      </c>
      <c r="C217" s="30" t="s">
        <v>66</v>
      </c>
      <c r="D217" s="9">
        <v>1200</v>
      </c>
      <c r="E217" s="29" t="s">
        <v>11</v>
      </c>
      <c r="F217" s="83">
        <f>B217*D217</f>
        <v>1200</v>
      </c>
      <c r="G217" s="9" t="s">
        <v>11</v>
      </c>
      <c r="H217" s="29" t="s">
        <v>11</v>
      </c>
    </row>
    <row r="218" spans="1:8" s="121" customFormat="1" ht="14.25">
      <c r="A218" s="29" t="s">
        <v>68</v>
      </c>
      <c r="B218" s="91">
        <v>4.41E-2</v>
      </c>
      <c r="C218" s="30" t="s">
        <v>69</v>
      </c>
      <c r="D218" s="9">
        <v>170000</v>
      </c>
      <c r="E218" s="29" t="s">
        <v>11</v>
      </c>
      <c r="F218" s="83"/>
      <c r="G218" s="9">
        <f>B218*D218</f>
        <v>7497</v>
      </c>
      <c r="H218" s="29" t="s">
        <v>11</v>
      </c>
    </row>
    <row r="219" spans="1:8">
      <c r="A219" s="76" t="s">
        <v>70</v>
      </c>
      <c r="B219" s="85">
        <f>ROUND((SUM(E219:H219)),0)</f>
        <v>26930</v>
      </c>
      <c r="C219" s="78" t="s">
        <v>71</v>
      </c>
      <c r="D219" s="86"/>
      <c r="E219" s="80">
        <f>SUM(E215:E218)</f>
        <v>0</v>
      </c>
      <c r="F219" s="80">
        <f>SUM(F215:F218)</f>
        <v>19433</v>
      </c>
      <c r="G219" s="80">
        <f>SUM(G215:G218)</f>
        <v>7497</v>
      </c>
      <c r="H219" s="80">
        <f>SUM(H215:H218)</f>
        <v>0</v>
      </c>
    </row>
    <row r="221" spans="1:8">
      <c r="A221" s="63" t="s">
        <v>189</v>
      </c>
    </row>
    <row r="222" spans="1:8">
      <c r="A222" s="63"/>
      <c r="E222" s="68" t="s">
        <v>61</v>
      </c>
      <c r="F222" s="68" t="s">
        <v>62</v>
      </c>
      <c r="G222" s="68" t="s">
        <v>63</v>
      </c>
      <c r="H222" s="68" t="s">
        <v>64</v>
      </c>
    </row>
    <row r="223" spans="1:8" s="121" customFormat="1" ht="14.25">
      <c r="A223" s="29" t="s">
        <v>190</v>
      </c>
      <c r="B223" s="82">
        <v>3</v>
      </c>
      <c r="C223" s="30" t="s">
        <v>66</v>
      </c>
      <c r="D223" s="9">
        <v>1713</v>
      </c>
      <c r="E223" s="29" t="s">
        <v>11</v>
      </c>
      <c r="F223" s="83">
        <f>B223*D223</f>
        <v>5139</v>
      </c>
      <c r="G223" s="9" t="s">
        <v>11</v>
      </c>
      <c r="H223" s="29" t="s">
        <v>11</v>
      </c>
    </row>
    <row r="224" spans="1:8" s="121" customFormat="1" ht="14.25">
      <c r="A224" s="29" t="s">
        <v>180</v>
      </c>
      <c r="B224" s="82">
        <v>1</v>
      </c>
      <c r="C224" s="30" t="s">
        <v>66</v>
      </c>
      <c r="D224" s="9">
        <v>1883</v>
      </c>
      <c r="E224" s="29" t="s">
        <v>11</v>
      </c>
      <c r="F224" s="83">
        <f>B224*D224</f>
        <v>1883</v>
      </c>
      <c r="G224" s="9" t="s">
        <v>11</v>
      </c>
      <c r="H224" s="29" t="s">
        <v>11</v>
      </c>
    </row>
    <row r="225" spans="1:8" s="121" customFormat="1" ht="14.25">
      <c r="A225" s="29" t="s">
        <v>68</v>
      </c>
      <c r="B225" s="91">
        <v>1.4710000000000001E-2</v>
      </c>
      <c r="C225" s="30" t="s">
        <v>69</v>
      </c>
      <c r="D225" s="9">
        <v>170000</v>
      </c>
      <c r="E225" s="29" t="s">
        <v>11</v>
      </c>
      <c r="F225" s="83"/>
      <c r="G225" s="9">
        <f>B225*D225</f>
        <v>2500.7000000000003</v>
      </c>
      <c r="H225" s="29" t="s">
        <v>11</v>
      </c>
    </row>
    <row r="226" spans="1:8">
      <c r="A226" s="76" t="s">
        <v>70</v>
      </c>
      <c r="B226" s="85">
        <f>ROUND((SUM(E226:H226)),0)</f>
        <v>9523</v>
      </c>
      <c r="C226" s="78" t="s">
        <v>71</v>
      </c>
      <c r="D226" s="86"/>
      <c r="E226" s="80">
        <f>SUM(E223:E225)</f>
        <v>0</v>
      </c>
      <c r="F226" s="80">
        <f>SUM(F223:F225)</f>
        <v>7022</v>
      </c>
      <c r="G226" s="80">
        <f>SUM(G223:G225)</f>
        <v>2500.7000000000003</v>
      </c>
      <c r="H226" s="80">
        <f>SUM(H223:H225)</f>
        <v>0</v>
      </c>
    </row>
    <row r="228" spans="1:8">
      <c r="A228" s="63" t="s">
        <v>191</v>
      </c>
    </row>
    <row r="229" spans="1:8">
      <c r="A229" s="63"/>
      <c r="E229" s="68" t="s">
        <v>61</v>
      </c>
      <c r="F229" s="68" t="s">
        <v>62</v>
      </c>
      <c r="G229" s="68" t="s">
        <v>63</v>
      </c>
      <c r="H229" s="68" t="s">
        <v>64</v>
      </c>
    </row>
    <row r="230" spans="1:8" s="121" customFormat="1" ht="14.25">
      <c r="A230" s="29" t="s">
        <v>99</v>
      </c>
      <c r="B230" s="82">
        <v>4</v>
      </c>
      <c r="C230" s="30" t="s">
        <v>66</v>
      </c>
      <c r="D230" s="9">
        <v>2541</v>
      </c>
      <c r="E230" s="29" t="s">
        <v>11</v>
      </c>
      <c r="F230" s="83">
        <f>B230*D230</f>
        <v>10164</v>
      </c>
      <c r="G230" s="9" t="s">
        <v>11</v>
      </c>
      <c r="H230" s="29" t="s">
        <v>11</v>
      </c>
    </row>
    <row r="231" spans="1:8" s="121" customFormat="1" ht="14.25">
      <c r="A231" s="29" t="s">
        <v>190</v>
      </c>
      <c r="B231" s="82">
        <v>1</v>
      </c>
      <c r="C231" s="30" t="s">
        <v>66</v>
      </c>
      <c r="D231" s="9">
        <v>1713</v>
      </c>
      <c r="E231" s="29" t="s">
        <v>11</v>
      </c>
      <c r="F231" s="83">
        <f>B231*D231</f>
        <v>1713</v>
      </c>
      <c r="G231" s="9" t="s">
        <v>11</v>
      </c>
      <c r="H231" s="29" t="s">
        <v>11</v>
      </c>
    </row>
    <row r="232" spans="1:8" s="121" customFormat="1" ht="14.25">
      <c r="A232" s="29" t="s">
        <v>188</v>
      </c>
      <c r="B232" s="82">
        <v>1</v>
      </c>
      <c r="C232" s="30" t="s">
        <v>66</v>
      </c>
      <c r="D232" s="9">
        <v>1200</v>
      </c>
      <c r="E232" s="29" t="s">
        <v>11</v>
      </c>
      <c r="F232" s="83">
        <f>B232*D232</f>
        <v>1200</v>
      </c>
      <c r="G232" s="9" t="s">
        <v>11</v>
      </c>
      <c r="H232" s="29" t="s">
        <v>11</v>
      </c>
    </row>
    <row r="233" spans="1:8" s="121" customFormat="1" ht="14.25">
      <c r="A233" s="29" t="s">
        <v>68</v>
      </c>
      <c r="B233" s="91">
        <v>3.8199999999999998E-2</v>
      </c>
      <c r="C233" s="30" t="s">
        <v>69</v>
      </c>
      <c r="D233" s="9">
        <v>170000</v>
      </c>
      <c r="E233" s="29" t="s">
        <v>11</v>
      </c>
      <c r="F233" s="83"/>
      <c r="G233" s="9">
        <f>B233*D233</f>
        <v>6494</v>
      </c>
      <c r="H233" s="29" t="s">
        <v>11</v>
      </c>
    </row>
    <row r="234" spans="1:8">
      <c r="A234" s="76" t="s">
        <v>70</v>
      </c>
      <c r="B234" s="85">
        <f>ROUND((SUM(E234:H234)),0)</f>
        <v>19571</v>
      </c>
      <c r="C234" s="78" t="s">
        <v>71</v>
      </c>
      <c r="D234" s="86"/>
      <c r="E234" s="80">
        <f>SUM(E230:E233)</f>
        <v>0</v>
      </c>
      <c r="F234" s="80">
        <f>SUM(F230:F233)</f>
        <v>13077</v>
      </c>
      <c r="G234" s="80">
        <f>SUM(G230:G233)</f>
        <v>6494</v>
      </c>
      <c r="H234" s="80">
        <f>SUM(H230:H233)</f>
        <v>0</v>
      </c>
    </row>
    <row r="236" spans="1:8">
      <c r="A236" s="63" t="s">
        <v>192</v>
      </c>
    </row>
    <row r="237" spans="1:8">
      <c r="A237" s="63"/>
      <c r="E237" s="68" t="s">
        <v>61</v>
      </c>
      <c r="F237" s="68" t="s">
        <v>62</v>
      </c>
      <c r="G237" s="68" t="s">
        <v>63</v>
      </c>
      <c r="H237" s="68" t="s">
        <v>64</v>
      </c>
    </row>
    <row r="238" spans="1:8" s="121" customFormat="1" ht="14.25">
      <c r="A238" s="29" t="s">
        <v>190</v>
      </c>
      <c r="B238" s="82">
        <v>4</v>
      </c>
      <c r="C238" s="30" t="s">
        <v>66</v>
      </c>
      <c r="D238" s="9">
        <v>1713</v>
      </c>
      <c r="E238" s="29" t="s">
        <v>11</v>
      </c>
      <c r="F238" s="83">
        <f>B238*D238</f>
        <v>6852</v>
      </c>
      <c r="G238" s="9" t="s">
        <v>11</v>
      </c>
      <c r="H238" s="29" t="s">
        <v>11</v>
      </c>
    </row>
    <row r="239" spans="1:8" s="121" customFormat="1" ht="14.25">
      <c r="A239" s="29" t="s">
        <v>193</v>
      </c>
      <c r="B239" s="82">
        <v>1</v>
      </c>
      <c r="C239" s="30" t="s">
        <v>66</v>
      </c>
      <c r="D239" s="9">
        <v>1300</v>
      </c>
      <c r="E239" s="29" t="s">
        <v>11</v>
      </c>
      <c r="F239" s="83">
        <f>B239*D239</f>
        <v>1300</v>
      </c>
      <c r="G239" s="9" t="s">
        <v>11</v>
      </c>
      <c r="H239" s="29" t="s">
        <v>11</v>
      </c>
    </row>
    <row r="240" spans="1:8" s="121" customFormat="1" ht="14.25">
      <c r="A240" s="29" t="s">
        <v>194</v>
      </c>
      <c r="B240" s="82">
        <v>1</v>
      </c>
      <c r="C240" s="30" t="s">
        <v>66</v>
      </c>
      <c r="D240" s="9">
        <v>800</v>
      </c>
      <c r="E240" s="29" t="s">
        <v>11</v>
      </c>
      <c r="F240" s="83">
        <f>B240*D240</f>
        <v>800</v>
      </c>
      <c r="G240" s="9" t="s">
        <v>11</v>
      </c>
      <c r="H240" s="29" t="s">
        <v>11</v>
      </c>
    </row>
    <row r="241" spans="1:8" s="121" customFormat="1" ht="14.25">
      <c r="A241" s="29" t="s">
        <v>68</v>
      </c>
      <c r="B241" s="91">
        <v>2.8000000000000001E-2</v>
      </c>
      <c r="C241" s="30" t="s">
        <v>69</v>
      </c>
      <c r="D241" s="9">
        <v>170000</v>
      </c>
      <c r="E241" s="29" t="s">
        <v>11</v>
      </c>
      <c r="F241" s="83"/>
      <c r="G241" s="9">
        <f>B241*D241</f>
        <v>4760</v>
      </c>
      <c r="H241" s="29" t="s">
        <v>11</v>
      </c>
    </row>
    <row r="242" spans="1:8">
      <c r="A242" s="76" t="s">
        <v>70</v>
      </c>
      <c r="B242" s="85">
        <f>ROUND((SUM(E242:H242)),0)</f>
        <v>13712</v>
      </c>
      <c r="C242" s="78" t="s">
        <v>71</v>
      </c>
      <c r="D242" s="86"/>
      <c r="E242" s="80">
        <f>SUM(E238:E241)</f>
        <v>0</v>
      </c>
      <c r="F242" s="80">
        <f>SUM(F238:F241)</f>
        <v>8952</v>
      </c>
      <c r="G242" s="80">
        <f>SUM(G238:G241)</f>
        <v>4760</v>
      </c>
      <c r="H242" s="80">
        <f>SUM(H238:H241)</f>
        <v>0</v>
      </c>
    </row>
    <row r="249" spans="1:8">
      <c r="A249" s="63" t="s">
        <v>195</v>
      </c>
    </row>
    <row r="250" spans="1:8">
      <c r="A250" s="63"/>
      <c r="E250" s="68" t="s">
        <v>61</v>
      </c>
      <c r="F250" s="68" t="s">
        <v>62</v>
      </c>
      <c r="G250" s="68" t="s">
        <v>63</v>
      </c>
      <c r="H250" s="68" t="s">
        <v>64</v>
      </c>
    </row>
    <row r="251" spans="1:8" s="121" customFormat="1" ht="14.25">
      <c r="A251" s="29" t="s">
        <v>196</v>
      </c>
      <c r="B251" s="82">
        <v>3</v>
      </c>
      <c r="C251" s="30" t="s">
        <v>66</v>
      </c>
      <c r="D251" s="9">
        <v>838</v>
      </c>
      <c r="E251" s="29" t="s">
        <v>11</v>
      </c>
      <c r="F251" s="83">
        <f>B251*D251</f>
        <v>2514</v>
      </c>
      <c r="G251" s="9" t="s">
        <v>11</v>
      </c>
      <c r="H251" s="29" t="s">
        <v>11</v>
      </c>
    </row>
    <row r="252" spans="1:8" s="121" customFormat="1" ht="14.25">
      <c r="A252" s="29" t="s">
        <v>197</v>
      </c>
      <c r="B252" s="82">
        <v>1</v>
      </c>
      <c r="C252" s="30" t="s">
        <v>66</v>
      </c>
      <c r="D252" s="9">
        <v>700</v>
      </c>
      <c r="E252" s="29" t="s">
        <v>11</v>
      </c>
      <c r="F252" s="83">
        <f>B252*D252</f>
        <v>700</v>
      </c>
      <c r="G252" s="9" t="s">
        <v>11</v>
      </c>
      <c r="H252" s="29" t="s">
        <v>11</v>
      </c>
    </row>
    <row r="253" spans="1:8" s="121" customFormat="1" ht="14.25">
      <c r="A253" s="29" t="s">
        <v>68</v>
      </c>
      <c r="B253" s="87">
        <v>1.18E-2</v>
      </c>
      <c r="C253" s="30" t="s">
        <v>69</v>
      </c>
      <c r="D253" s="9">
        <v>170000</v>
      </c>
      <c r="E253" s="29" t="s">
        <v>11</v>
      </c>
      <c r="F253" s="83"/>
      <c r="G253" s="9">
        <f>B253*D253</f>
        <v>2006</v>
      </c>
      <c r="H253" s="29" t="s">
        <v>11</v>
      </c>
    </row>
    <row r="254" spans="1:8">
      <c r="A254" s="76" t="s">
        <v>70</v>
      </c>
      <c r="B254" s="85">
        <f>ROUND((SUM(E254:H254)),0)</f>
        <v>5220</v>
      </c>
      <c r="C254" s="78" t="s">
        <v>71</v>
      </c>
      <c r="D254" s="86"/>
      <c r="E254" s="80">
        <f>SUM(E251:E253)</f>
        <v>0</v>
      </c>
      <c r="F254" s="80">
        <f>SUM(F251:F253)</f>
        <v>3214</v>
      </c>
      <c r="G254" s="80">
        <f>SUM(G251:G253)</f>
        <v>2006</v>
      </c>
      <c r="H254" s="80">
        <f>SUM(H251:H253)</f>
        <v>0</v>
      </c>
    </row>
    <row r="256" spans="1:8">
      <c r="A256" s="63" t="s">
        <v>198</v>
      </c>
    </row>
    <row r="257" spans="1:8">
      <c r="A257" s="63"/>
      <c r="E257" s="68" t="s">
        <v>61</v>
      </c>
      <c r="F257" s="68" t="s">
        <v>62</v>
      </c>
      <c r="G257" s="68" t="s">
        <v>63</v>
      </c>
      <c r="H257" s="68" t="s">
        <v>64</v>
      </c>
    </row>
    <row r="258" spans="1:8" s="121" customFormat="1" ht="14.25">
      <c r="A258" s="29" t="s">
        <v>199</v>
      </c>
      <c r="B258" s="82">
        <v>3</v>
      </c>
      <c r="C258" s="30" t="s">
        <v>18</v>
      </c>
      <c r="D258" s="9">
        <v>1632</v>
      </c>
      <c r="E258" s="29" t="s">
        <v>11</v>
      </c>
      <c r="F258" s="83">
        <f>B258*D258</f>
        <v>4896</v>
      </c>
      <c r="G258" s="9" t="s">
        <v>11</v>
      </c>
      <c r="H258" s="29" t="s">
        <v>11</v>
      </c>
    </row>
    <row r="259" spans="1:8" s="121" customFormat="1" ht="14.25">
      <c r="A259" s="29" t="s">
        <v>196</v>
      </c>
      <c r="B259" s="82">
        <v>1</v>
      </c>
      <c r="C259" s="30" t="s">
        <v>18</v>
      </c>
      <c r="D259" s="9">
        <v>838</v>
      </c>
      <c r="E259" s="29"/>
      <c r="F259" s="83">
        <f>B259*D259</f>
        <v>838</v>
      </c>
      <c r="G259" s="9"/>
      <c r="H259" s="29"/>
    </row>
    <row r="260" spans="1:8" s="121" customFormat="1" ht="14.25">
      <c r="A260" s="29" t="s">
        <v>197</v>
      </c>
      <c r="B260" s="82">
        <v>1</v>
      </c>
      <c r="C260" s="30" t="s">
        <v>18</v>
      </c>
      <c r="D260" s="9">
        <v>700</v>
      </c>
      <c r="E260" s="29" t="s">
        <v>11</v>
      </c>
      <c r="F260" s="83">
        <f>B260*D260</f>
        <v>700</v>
      </c>
      <c r="G260" s="9" t="s">
        <v>11</v>
      </c>
      <c r="H260" s="29" t="s">
        <v>11</v>
      </c>
    </row>
    <row r="261" spans="1:8" s="121" customFormat="1" ht="14.25">
      <c r="A261" s="29" t="s">
        <v>68</v>
      </c>
      <c r="B261" s="91">
        <v>1.6500000000000001E-2</v>
      </c>
      <c r="C261" s="30" t="s">
        <v>69</v>
      </c>
      <c r="D261" s="9">
        <v>170000</v>
      </c>
      <c r="E261" s="29" t="s">
        <v>11</v>
      </c>
      <c r="F261" s="83"/>
      <c r="G261" s="9">
        <f>B261*D261</f>
        <v>2805</v>
      </c>
      <c r="H261" s="29" t="s">
        <v>11</v>
      </c>
    </row>
    <row r="262" spans="1:8">
      <c r="A262" s="76" t="s">
        <v>70</v>
      </c>
      <c r="B262" s="85">
        <f>ROUND((SUM(E262:H262)),0)</f>
        <v>9239</v>
      </c>
      <c r="C262" s="78" t="s">
        <v>71</v>
      </c>
      <c r="D262" s="86"/>
      <c r="E262" s="80">
        <f>SUM(E258:E261)</f>
        <v>0</v>
      </c>
      <c r="F262" s="80">
        <f>SUM(F258:F261)</f>
        <v>6434</v>
      </c>
      <c r="G262" s="80">
        <f>SUM(G258:G261)</f>
        <v>2805</v>
      </c>
      <c r="H262" s="80">
        <f>SUM(H258:H261)</f>
        <v>0</v>
      </c>
    </row>
    <row r="264" spans="1:8">
      <c r="A264" s="63" t="s">
        <v>200</v>
      </c>
    </row>
    <row r="265" spans="1:8">
      <c r="A265" s="63"/>
      <c r="E265" s="68" t="s">
        <v>61</v>
      </c>
      <c r="F265" s="68" t="s">
        <v>62</v>
      </c>
      <c r="G265" s="68" t="s">
        <v>63</v>
      </c>
      <c r="H265" s="68" t="s">
        <v>64</v>
      </c>
    </row>
    <row r="266" spans="1:8" s="121" customFormat="1" ht="14.25">
      <c r="A266" s="29" t="s">
        <v>201</v>
      </c>
      <c r="B266" s="82">
        <v>4</v>
      </c>
      <c r="C266" s="30" t="s">
        <v>66</v>
      </c>
      <c r="D266" s="9">
        <v>790</v>
      </c>
      <c r="E266" s="29" t="s">
        <v>11</v>
      </c>
      <c r="F266" s="83">
        <f>B266*D266</f>
        <v>3160</v>
      </c>
      <c r="G266" s="9" t="s">
        <v>11</v>
      </c>
      <c r="H266" s="29" t="s">
        <v>11</v>
      </c>
    </row>
    <row r="267" spans="1:8" s="121" customFormat="1" ht="14.25">
      <c r="A267" s="29" t="s">
        <v>197</v>
      </c>
      <c r="B267" s="82">
        <v>1</v>
      </c>
      <c r="C267" s="30" t="s">
        <v>66</v>
      </c>
      <c r="D267" s="9">
        <v>700</v>
      </c>
      <c r="E267" s="29" t="s">
        <v>11</v>
      </c>
      <c r="F267" s="83">
        <f>B267*D267</f>
        <v>700</v>
      </c>
      <c r="G267" s="9" t="s">
        <v>11</v>
      </c>
      <c r="H267" s="29" t="s">
        <v>11</v>
      </c>
    </row>
    <row r="268" spans="1:8" s="121" customFormat="1" ht="14.25">
      <c r="A268" s="29" t="s">
        <v>68</v>
      </c>
      <c r="B268" s="91">
        <v>1.18E-2</v>
      </c>
      <c r="C268" s="30" t="s">
        <v>69</v>
      </c>
      <c r="D268" s="9">
        <v>170000</v>
      </c>
      <c r="E268" s="29" t="s">
        <v>11</v>
      </c>
      <c r="F268" s="83"/>
      <c r="G268" s="9">
        <f>B268*D268</f>
        <v>2006</v>
      </c>
      <c r="H268" s="29" t="s">
        <v>11</v>
      </c>
    </row>
    <row r="269" spans="1:8">
      <c r="A269" s="76" t="s">
        <v>70</v>
      </c>
      <c r="B269" s="85">
        <f>ROUND((SUM(E269:H269)),0)</f>
        <v>5866</v>
      </c>
      <c r="C269" s="78" t="s">
        <v>71</v>
      </c>
      <c r="D269" s="86"/>
      <c r="E269" s="80">
        <f>SUM(E266:E268)</f>
        <v>0</v>
      </c>
      <c r="F269" s="80">
        <f>SUM(F266:F268)</f>
        <v>3860</v>
      </c>
      <c r="G269" s="80">
        <f>SUM(G266:G268)</f>
        <v>2006</v>
      </c>
      <c r="H269" s="80">
        <f>SUM(H266:H268)</f>
        <v>0</v>
      </c>
    </row>
    <row r="271" spans="1:8">
      <c r="A271" s="63" t="s">
        <v>202</v>
      </c>
    </row>
    <row r="272" spans="1:8">
      <c r="A272" s="63"/>
      <c r="E272" s="68" t="s">
        <v>61</v>
      </c>
      <c r="F272" s="68" t="s">
        <v>62</v>
      </c>
      <c r="G272" s="68" t="s">
        <v>63</v>
      </c>
      <c r="H272" s="68" t="s">
        <v>64</v>
      </c>
    </row>
    <row r="273" spans="1:8" s="121" customFormat="1" ht="14.25">
      <c r="A273" s="29" t="s">
        <v>98</v>
      </c>
      <c r="B273" s="82">
        <v>3</v>
      </c>
      <c r="C273" s="30" t="s">
        <v>18</v>
      </c>
      <c r="D273" s="9">
        <v>6100</v>
      </c>
      <c r="E273" s="29" t="s">
        <v>11</v>
      </c>
      <c r="F273" s="83">
        <f>B273*D273</f>
        <v>18300</v>
      </c>
      <c r="G273" s="9" t="s">
        <v>11</v>
      </c>
      <c r="H273" s="29" t="s">
        <v>11</v>
      </c>
    </row>
    <row r="274" spans="1:8" s="121" customFormat="1" ht="14.25">
      <c r="A274" s="29" t="s">
        <v>100</v>
      </c>
      <c r="B274" s="82">
        <v>1</v>
      </c>
      <c r="C274" s="30" t="s">
        <v>18</v>
      </c>
      <c r="D274" s="9">
        <v>3923</v>
      </c>
      <c r="E274" s="29"/>
      <c r="F274" s="83">
        <f>B274*D274</f>
        <v>3923</v>
      </c>
      <c r="G274" s="9"/>
      <c r="H274" s="29"/>
    </row>
    <row r="275" spans="1:8" s="121" customFormat="1" ht="14.25">
      <c r="A275" s="29" t="s">
        <v>188</v>
      </c>
      <c r="B275" s="82">
        <v>1</v>
      </c>
      <c r="C275" s="30" t="s">
        <v>66</v>
      </c>
      <c r="D275" s="9">
        <v>1200</v>
      </c>
      <c r="E275" s="29" t="s">
        <v>11</v>
      </c>
      <c r="F275" s="83">
        <f>B275*D275</f>
        <v>1200</v>
      </c>
      <c r="G275" s="9" t="s">
        <v>11</v>
      </c>
      <c r="H275" s="29" t="s">
        <v>11</v>
      </c>
    </row>
    <row r="276" spans="1:8" s="121" customFormat="1" ht="14.25">
      <c r="A276" s="29" t="s">
        <v>68</v>
      </c>
      <c r="B276" s="87">
        <v>3.5310000000000001E-2</v>
      </c>
      <c r="C276" s="30" t="s">
        <v>69</v>
      </c>
      <c r="D276" s="9">
        <v>170000</v>
      </c>
      <c r="E276" s="29" t="s">
        <v>11</v>
      </c>
      <c r="F276" s="83"/>
      <c r="G276" s="9">
        <f>B276*D276</f>
        <v>6002.7</v>
      </c>
      <c r="H276" s="29" t="s">
        <v>11</v>
      </c>
    </row>
    <row r="277" spans="1:8">
      <c r="A277" s="76" t="s">
        <v>70</v>
      </c>
      <c r="B277" s="85">
        <f>ROUND((SUM(E277:H277)),0)</f>
        <v>29426</v>
      </c>
      <c r="C277" s="78" t="s">
        <v>71</v>
      </c>
      <c r="D277" s="86"/>
      <c r="E277" s="80">
        <f>SUM(E273:E276)</f>
        <v>0</v>
      </c>
      <c r="F277" s="80">
        <f>SUM(F273:F276)</f>
        <v>23423</v>
      </c>
      <c r="G277" s="80">
        <f>SUM(G273:G276)</f>
        <v>6002.7</v>
      </c>
      <c r="H277" s="80">
        <f>SUM(H273:H276)</f>
        <v>0</v>
      </c>
    </row>
    <row r="279" spans="1:8">
      <c r="A279" s="63" t="s">
        <v>203</v>
      </c>
    </row>
    <row r="280" spans="1:8">
      <c r="A280" s="63"/>
      <c r="E280" s="68" t="s">
        <v>61</v>
      </c>
      <c r="F280" s="68" t="s">
        <v>62</v>
      </c>
      <c r="G280" s="68" t="s">
        <v>63</v>
      </c>
      <c r="H280" s="68" t="s">
        <v>64</v>
      </c>
    </row>
    <row r="281" spans="1:8" s="121" customFormat="1" ht="14.25">
      <c r="A281" s="29" t="s">
        <v>201</v>
      </c>
      <c r="B281" s="82">
        <v>3</v>
      </c>
      <c r="C281" s="30" t="s">
        <v>66</v>
      </c>
      <c r="D281" s="9">
        <v>790</v>
      </c>
      <c r="E281" s="29" t="s">
        <v>11</v>
      </c>
      <c r="F281" s="83">
        <f>B281*D281</f>
        <v>2370</v>
      </c>
      <c r="G281" s="9" t="s">
        <v>11</v>
      </c>
      <c r="H281" s="29" t="s">
        <v>11</v>
      </c>
    </row>
    <row r="282" spans="1:8" s="121" customFormat="1" ht="14.25">
      <c r="A282" s="29" t="s">
        <v>197</v>
      </c>
      <c r="B282" s="82">
        <v>1</v>
      </c>
      <c r="C282" s="30" t="s">
        <v>66</v>
      </c>
      <c r="D282" s="9">
        <v>700</v>
      </c>
      <c r="E282" s="29" t="s">
        <v>11</v>
      </c>
      <c r="F282" s="83">
        <f>B282*D282</f>
        <v>700</v>
      </c>
      <c r="G282" s="9" t="s">
        <v>11</v>
      </c>
      <c r="H282" s="29" t="s">
        <v>11</v>
      </c>
    </row>
    <row r="283" spans="1:8" s="121" customFormat="1" ht="14.25">
      <c r="A283" s="29" t="s">
        <v>68</v>
      </c>
      <c r="B283" s="91">
        <v>1.18E-2</v>
      </c>
      <c r="C283" s="30" t="s">
        <v>69</v>
      </c>
      <c r="D283" s="9">
        <v>170000</v>
      </c>
      <c r="E283" s="29" t="s">
        <v>11</v>
      </c>
      <c r="F283" s="83"/>
      <c r="G283" s="9">
        <f>B283*D283</f>
        <v>2006</v>
      </c>
      <c r="H283" s="29" t="s">
        <v>11</v>
      </c>
    </row>
    <row r="284" spans="1:8">
      <c r="A284" s="76" t="s">
        <v>70</v>
      </c>
      <c r="B284" s="85">
        <f>ROUND((SUM(E284:H284)),0)</f>
        <v>5076</v>
      </c>
      <c r="C284" s="78" t="s">
        <v>71</v>
      </c>
      <c r="D284" s="86"/>
      <c r="E284" s="80">
        <f>SUM(E281:E283)</f>
        <v>0</v>
      </c>
      <c r="F284" s="80">
        <f>SUM(F281:F283)</f>
        <v>3070</v>
      </c>
      <c r="G284" s="80">
        <f>SUM(G281:G283)</f>
        <v>2006</v>
      </c>
      <c r="H284" s="80">
        <f>SUM(H281:H283)</f>
        <v>0</v>
      </c>
    </row>
    <row r="285" spans="1:8">
      <c r="A285" s="122"/>
      <c r="B285" s="123"/>
      <c r="C285" s="124"/>
      <c r="D285" s="125"/>
      <c r="E285" s="126"/>
      <c r="F285" s="126"/>
      <c r="G285" s="126"/>
      <c r="H285" s="126"/>
    </row>
    <row r="286" spans="1:8">
      <c r="A286" s="63" t="s">
        <v>204</v>
      </c>
    </row>
    <row r="287" spans="1:8">
      <c r="A287" s="63"/>
      <c r="E287" s="68" t="s">
        <v>61</v>
      </c>
      <c r="F287" s="68" t="s">
        <v>62</v>
      </c>
      <c r="G287" s="68" t="s">
        <v>63</v>
      </c>
      <c r="H287" s="68" t="s">
        <v>64</v>
      </c>
    </row>
    <row r="288" spans="1:8">
      <c r="A288" s="29" t="s">
        <v>205</v>
      </c>
      <c r="B288" s="82">
        <v>1</v>
      </c>
      <c r="C288" s="30" t="s">
        <v>49</v>
      </c>
      <c r="D288" s="9">
        <v>150000</v>
      </c>
      <c r="E288" s="29" t="s">
        <v>11</v>
      </c>
      <c r="F288" s="83">
        <f>B288*D288</f>
        <v>150000</v>
      </c>
      <c r="G288" s="9" t="s">
        <v>11</v>
      </c>
      <c r="H288" s="29" t="s">
        <v>11</v>
      </c>
    </row>
    <row r="289" spans="1:8">
      <c r="A289" s="29" t="s">
        <v>68</v>
      </c>
      <c r="B289" s="87">
        <v>0.14710000000000001</v>
      </c>
      <c r="C289" s="30" t="s">
        <v>69</v>
      </c>
      <c r="D289" s="9">
        <v>170000</v>
      </c>
      <c r="E289" s="29" t="s">
        <v>11</v>
      </c>
      <c r="F289" s="29" t="s">
        <v>11</v>
      </c>
      <c r="G289" s="9">
        <f>B289*D289</f>
        <v>25007</v>
      </c>
      <c r="H289" s="29" t="s">
        <v>11</v>
      </c>
    </row>
    <row r="290" spans="1:8">
      <c r="A290" s="76" t="s">
        <v>70</v>
      </c>
      <c r="B290" s="85">
        <f>ROUND((SUM(E290:H290)),0)</f>
        <v>175007</v>
      </c>
      <c r="C290" s="78" t="s">
        <v>73</v>
      </c>
      <c r="D290" s="86"/>
      <c r="E290" s="80">
        <f>SUM(E288:E289)</f>
        <v>0</v>
      </c>
      <c r="F290" s="80">
        <f>SUM(F288:F289)</f>
        <v>150000</v>
      </c>
      <c r="G290" s="80">
        <f>SUM(G288:G289)</f>
        <v>25007</v>
      </c>
      <c r="H290" s="80">
        <f>SUM(H288:H289)</f>
        <v>0</v>
      </c>
    </row>
    <row r="291" spans="1:8">
      <c r="A291" s="122"/>
      <c r="B291" s="123"/>
      <c r="C291" s="124"/>
      <c r="D291" s="125"/>
      <c r="E291" s="126"/>
      <c r="F291" s="126"/>
      <c r="G291" s="126"/>
      <c r="H291" s="126"/>
    </row>
    <row r="292" spans="1:8">
      <c r="A292" s="63" t="s">
        <v>206</v>
      </c>
    </row>
    <row r="293" spans="1:8">
      <c r="A293" s="63"/>
      <c r="E293" s="68" t="s">
        <v>61</v>
      </c>
      <c r="F293" s="68" t="s">
        <v>62</v>
      </c>
      <c r="G293" s="68" t="s">
        <v>63</v>
      </c>
      <c r="H293" s="68" t="s">
        <v>64</v>
      </c>
    </row>
    <row r="294" spans="1:8">
      <c r="A294" s="29" t="s">
        <v>207</v>
      </c>
      <c r="B294" s="82">
        <v>1</v>
      </c>
      <c r="C294" s="30" t="s">
        <v>49</v>
      </c>
      <c r="D294" s="9">
        <v>150000</v>
      </c>
      <c r="E294" s="29" t="s">
        <v>11</v>
      </c>
      <c r="F294" s="83">
        <f>B294*D294</f>
        <v>150000</v>
      </c>
      <c r="G294" s="9" t="s">
        <v>11</v>
      </c>
      <c r="H294" s="29" t="s">
        <v>11</v>
      </c>
    </row>
    <row r="295" spans="1:8">
      <c r="A295" s="29" t="s">
        <v>68</v>
      </c>
      <c r="B295" s="87">
        <v>0.14710000000000001</v>
      </c>
      <c r="C295" s="30" t="s">
        <v>69</v>
      </c>
      <c r="D295" s="9">
        <v>170000</v>
      </c>
      <c r="E295" s="29" t="s">
        <v>11</v>
      </c>
      <c r="F295" s="29" t="s">
        <v>11</v>
      </c>
      <c r="G295" s="9">
        <f>B295*D295</f>
        <v>25007</v>
      </c>
      <c r="H295" s="29" t="s">
        <v>11</v>
      </c>
    </row>
    <row r="296" spans="1:8">
      <c r="A296" s="76" t="s">
        <v>70</v>
      </c>
      <c r="B296" s="85">
        <f>ROUND((SUM(E296:H296)),0)</f>
        <v>175007</v>
      </c>
      <c r="C296" s="78" t="s">
        <v>73</v>
      </c>
      <c r="D296" s="86"/>
      <c r="E296" s="80">
        <f>SUM(E294:E295)</f>
        <v>0</v>
      </c>
      <c r="F296" s="80">
        <f>SUM(F294:F295)</f>
        <v>150000</v>
      </c>
      <c r="G296" s="80">
        <f>SUM(G294:G295)</f>
        <v>25007</v>
      </c>
      <c r="H296" s="80">
        <f>SUM(H294:H295)</f>
        <v>0</v>
      </c>
    </row>
    <row r="298" spans="1:8">
      <c r="A298" s="63" t="s">
        <v>208</v>
      </c>
    </row>
    <row r="299" spans="1:8">
      <c r="A299" s="63"/>
      <c r="E299" s="68" t="s">
        <v>61</v>
      </c>
      <c r="F299" s="68" t="s">
        <v>62</v>
      </c>
      <c r="G299" s="68" t="s">
        <v>63</v>
      </c>
      <c r="H299" s="68" t="s">
        <v>64</v>
      </c>
    </row>
    <row r="300" spans="1:8">
      <c r="A300" s="29" t="s">
        <v>45</v>
      </c>
      <c r="B300" s="82">
        <v>1</v>
      </c>
      <c r="C300" s="30" t="s">
        <v>49</v>
      </c>
      <c r="D300" s="9">
        <v>6500</v>
      </c>
      <c r="E300" s="29" t="s">
        <v>11</v>
      </c>
      <c r="F300" s="83">
        <f>B300*D300</f>
        <v>6500</v>
      </c>
      <c r="G300" s="9" t="s">
        <v>11</v>
      </c>
      <c r="H300" s="29" t="s">
        <v>11</v>
      </c>
    </row>
    <row r="301" spans="1:8">
      <c r="A301" s="29" t="s">
        <v>68</v>
      </c>
      <c r="B301" s="87">
        <v>8.8230000000000003E-2</v>
      </c>
      <c r="C301" s="30" t="s">
        <v>69</v>
      </c>
      <c r="D301" s="9">
        <v>170000</v>
      </c>
      <c r="E301" s="29" t="s">
        <v>11</v>
      </c>
      <c r="F301" s="29" t="s">
        <v>11</v>
      </c>
      <c r="G301" s="9">
        <f>B301*D301</f>
        <v>14999.1</v>
      </c>
      <c r="H301" s="29" t="s">
        <v>11</v>
      </c>
    </row>
    <row r="302" spans="1:8">
      <c r="A302" s="76" t="s">
        <v>70</v>
      </c>
      <c r="B302" s="85">
        <f>ROUND((SUM(E302:H302)),0)</f>
        <v>21499</v>
      </c>
      <c r="C302" s="78" t="s">
        <v>73</v>
      </c>
      <c r="D302" s="86"/>
      <c r="E302" s="80">
        <f>SUM(E300:E301)</f>
        <v>0</v>
      </c>
      <c r="F302" s="80">
        <f>SUM(F300:F301)</f>
        <v>6500</v>
      </c>
      <c r="G302" s="80">
        <f>SUM(G300:G301)</f>
        <v>14999.1</v>
      </c>
      <c r="H302" s="80">
        <f>SUM(H300:H301)</f>
        <v>0</v>
      </c>
    </row>
    <row r="304" spans="1:8">
      <c r="A304" s="63" t="s">
        <v>209</v>
      </c>
    </row>
    <row r="305" spans="1:8">
      <c r="A305" s="63"/>
      <c r="E305" s="68" t="s">
        <v>61</v>
      </c>
      <c r="F305" s="68" t="s">
        <v>62</v>
      </c>
      <c r="G305" s="68" t="s">
        <v>63</v>
      </c>
      <c r="H305" s="68" t="s">
        <v>64</v>
      </c>
    </row>
    <row r="306" spans="1:8">
      <c r="A306" s="29" t="s">
        <v>46</v>
      </c>
      <c r="B306" s="82">
        <v>1</v>
      </c>
      <c r="C306" s="30" t="s">
        <v>49</v>
      </c>
      <c r="D306" s="9">
        <v>6500</v>
      </c>
      <c r="E306" s="29" t="s">
        <v>11</v>
      </c>
      <c r="F306" s="83">
        <f>B306*D306</f>
        <v>6500</v>
      </c>
      <c r="G306" s="9" t="s">
        <v>11</v>
      </c>
      <c r="H306" s="29" t="s">
        <v>11</v>
      </c>
    </row>
    <row r="307" spans="1:8">
      <c r="A307" s="29" t="s">
        <v>68</v>
      </c>
      <c r="B307" s="87">
        <v>8.8230000000000003E-2</v>
      </c>
      <c r="C307" s="30" t="s">
        <v>69</v>
      </c>
      <c r="D307" s="9">
        <v>170000</v>
      </c>
      <c r="E307" s="29" t="s">
        <v>11</v>
      </c>
      <c r="F307" s="29" t="s">
        <v>11</v>
      </c>
      <c r="G307" s="9">
        <f>B307*D307</f>
        <v>14999.1</v>
      </c>
      <c r="H307" s="29" t="s">
        <v>11</v>
      </c>
    </row>
    <row r="308" spans="1:8">
      <c r="A308" s="76" t="s">
        <v>70</v>
      </c>
      <c r="B308" s="85">
        <f>ROUND((SUM(E308:H308)),0)</f>
        <v>21499</v>
      </c>
      <c r="C308" s="78" t="s">
        <v>73</v>
      </c>
      <c r="D308" s="86"/>
      <c r="E308" s="80">
        <f>SUM(E306:E307)</f>
        <v>0</v>
      </c>
      <c r="F308" s="80">
        <f>SUM(F306:F307)</f>
        <v>6500</v>
      </c>
      <c r="G308" s="80">
        <f>SUM(G306:G307)</f>
        <v>14999.1</v>
      </c>
      <c r="H308" s="80">
        <f>SUM(H306:H307)</f>
        <v>0</v>
      </c>
    </row>
    <row r="310" spans="1:8">
      <c r="A310" s="63" t="s">
        <v>210</v>
      </c>
    </row>
    <row r="311" spans="1:8">
      <c r="A311" s="63"/>
      <c r="E311" s="68" t="s">
        <v>61</v>
      </c>
      <c r="F311" s="68" t="s">
        <v>62</v>
      </c>
      <c r="G311" s="68" t="s">
        <v>63</v>
      </c>
      <c r="H311" s="68" t="s">
        <v>64</v>
      </c>
    </row>
    <row r="312" spans="1:8">
      <c r="A312" s="29" t="s">
        <v>211</v>
      </c>
      <c r="B312" s="82">
        <v>1</v>
      </c>
      <c r="C312" s="30" t="s">
        <v>49</v>
      </c>
      <c r="D312" s="9">
        <v>6500</v>
      </c>
      <c r="E312" s="29" t="s">
        <v>11</v>
      </c>
      <c r="F312" s="83">
        <f>B312*D312</f>
        <v>6500</v>
      </c>
      <c r="G312" s="9" t="s">
        <v>11</v>
      </c>
      <c r="H312" s="29" t="s">
        <v>11</v>
      </c>
    </row>
    <row r="313" spans="1:8">
      <c r="A313" s="29" t="s">
        <v>68</v>
      </c>
      <c r="B313" s="87">
        <v>8.8230000000000003E-2</v>
      </c>
      <c r="C313" s="30" t="s">
        <v>69</v>
      </c>
      <c r="D313" s="9">
        <v>170000</v>
      </c>
      <c r="E313" s="29" t="s">
        <v>11</v>
      </c>
      <c r="F313" s="29" t="s">
        <v>11</v>
      </c>
      <c r="G313" s="9">
        <f>B313*D313</f>
        <v>14999.1</v>
      </c>
      <c r="H313" s="29" t="s">
        <v>11</v>
      </c>
    </row>
    <row r="314" spans="1:8">
      <c r="A314" s="76" t="s">
        <v>70</v>
      </c>
      <c r="B314" s="85">
        <f>ROUND((SUM(E314:H314)),0)</f>
        <v>21499</v>
      </c>
      <c r="C314" s="78" t="s">
        <v>73</v>
      </c>
      <c r="D314" s="86"/>
      <c r="E314" s="80">
        <f>SUM(E312:E313)</f>
        <v>0</v>
      </c>
      <c r="F314" s="80">
        <f>SUM(F312:F313)</f>
        <v>6500</v>
      </c>
      <c r="G314" s="80">
        <f>SUM(G312:G313)</f>
        <v>14999.1</v>
      </c>
      <c r="H314" s="80">
        <f>SUM(H312:H313)</f>
        <v>0</v>
      </c>
    </row>
    <row r="316" spans="1:8">
      <c r="A316" s="63" t="s">
        <v>212</v>
      </c>
    </row>
    <row r="317" spans="1:8">
      <c r="A317" s="63"/>
      <c r="E317" s="68" t="s">
        <v>61</v>
      </c>
      <c r="F317" s="68" t="s">
        <v>62</v>
      </c>
      <c r="G317" s="68" t="s">
        <v>63</v>
      </c>
      <c r="H317" s="68" t="s">
        <v>64</v>
      </c>
    </row>
    <row r="318" spans="1:8">
      <c r="A318" s="29" t="s">
        <v>213</v>
      </c>
      <c r="B318" s="82">
        <v>1</v>
      </c>
      <c r="C318" s="30" t="s">
        <v>49</v>
      </c>
      <c r="D318" s="9">
        <v>15000</v>
      </c>
      <c r="E318" s="29" t="s">
        <v>11</v>
      </c>
      <c r="F318" s="83">
        <f>B318*D318</f>
        <v>15000</v>
      </c>
      <c r="G318" s="9" t="s">
        <v>11</v>
      </c>
      <c r="H318" s="29" t="s">
        <v>11</v>
      </c>
    </row>
    <row r="319" spans="1:8">
      <c r="A319" s="29" t="s">
        <v>68</v>
      </c>
      <c r="B319" s="87">
        <v>8.8230000000000003E-2</v>
      </c>
      <c r="C319" s="30" t="s">
        <v>69</v>
      </c>
      <c r="D319" s="9">
        <v>170000</v>
      </c>
      <c r="E319" s="29" t="s">
        <v>11</v>
      </c>
      <c r="F319" s="29" t="s">
        <v>11</v>
      </c>
      <c r="G319" s="9">
        <f>B319*D319</f>
        <v>14999.1</v>
      </c>
      <c r="H319" s="29" t="s">
        <v>11</v>
      </c>
    </row>
    <row r="320" spans="1:8">
      <c r="A320" s="76" t="s">
        <v>70</v>
      </c>
      <c r="B320" s="85">
        <f>ROUND((SUM(E320:H320)),0)</f>
        <v>29999</v>
      </c>
      <c r="C320" s="78" t="s">
        <v>73</v>
      </c>
      <c r="D320" s="86"/>
      <c r="E320" s="80">
        <f>SUM(E318:E319)</f>
        <v>0</v>
      </c>
      <c r="F320" s="80">
        <f>SUM(F318:F319)</f>
        <v>15000</v>
      </c>
      <c r="G320" s="80">
        <f>SUM(G318:G319)</f>
        <v>14999.1</v>
      </c>
      <c r="H320" s="80">
        <f>SUM(H318:H319)</f>
        <v>0</v>
      </c>
    </row>
    <row r="322" spans="1:8">
      <c r="A322" s="63" t="s">
        <v>214</v>
      </c>
    </row>
    <row r="323" spans="1:8">
      <c r="A323" s="63"/>
      <c r="E323" s="68" t="s">
        <v>61</v>
      </c>
      <c r="F323" s="68" t="s">
        <v>62</v>
      </c>
      <c r="G323" s="68" t="s">
        <v>63</v>
      </c>
      <c r="H323" s="68" t="s">
        <v>64</v>
      </c>
    </row>
    <row r="324" spans="1:8">
      <c r="A324" s="29" t="s">
        <v>47</v>
      </c>
      <c r="B324" s="82">
        <v>1</v>
      </c>
      <c r="C324" s="30" t="s">
        <v>49</v>
      </c>
      <c r="D324" s="9">
        <v>15000</v>
      </c>
      <c r="E324" s="29" t="s">
        <v>11</v>
      </c>
      <c r="F324" s="83">
        <f>B324*D324</f>
        <v>15000</v>
      </c>
      <c r="G324" s="9" t="s">
        <v>11</v>
      </c>
      <c r="H324" s="29" t="s">
        <v>11</v>
      </c>
    </row>
    <row r="325" spans="1:8">
      <c r="A325" s="29" t="s">
        <v>68</v>
      </c>
      <c r="B325" s="87">
        <v>8.8230000000000003E-2</v>
      </c>
      <c r="C325" s="30" t="s">
        <v>69</v>
      </c>
      <c r="D325" s="9">
        <v>170000</v>
      </c>
      <c r="E325" s="29" t="s">
        <v>11</v>
      </c>
      <c r="F325" s="29" t="s">
        <v>11</v>
      </c>
      <c r="G325" s="9">
        <f>B325*D325</f>
        <v>14999.1</v>
      </c>
      <c r="H325" s="29" t="s">
        <v>11</v>
      </c>
    </row>
    <row r="326" spans="1:8">
      <c r="A326" s="76" t="s">
        <v>70</v>
      </c>
      <c r="B326" s="85">
        <f>ROUND((SUM(E326:H326)),0)</f>
        <v>29999</v>
      </c>
      <c r="C326" s="78" t="s">
        <v>73</v>
      </c>
      <c r="D326" s="86"/>
      <c r="E326" s="80">
        <f>SUM(E324:E325)</f>
        <v>0</v>
      </c>
      <c r="F326" s="80">
        <f>SUM(F324:F325)</f>
        <v>15000</v>
      </c>
      <c r="G326" s="80">
        <f>SUM(G324:G325)</f>
        <v>14999.1</v>
      </c>
      <c r="H326" s="80">
        <f>SUM(H324:H325)</f>
        <v>0</v>
      </c>
    </row>
    <row r="328" spans="1:8">
      <c r="A328" s="63" t="s">
        <v>215</v>
      </c>
    </row>
    <row r="329" spans="1:8">
      <c r="A329" s="63"/>
      <c r="E329" s="68" t="s">
        <v>61</v>
      </c>
      <c r="F329" s="68" t="s">
        <v>62</v>
      </c>
      <c r="G329" s="68" t="s">
        <v>63</v>
      </c>
      <c r="H329" s="68" t="s">
        <v>64</v>
      </c>
    </row>
    <row r="330" spans="1:8">
      <c r="A330" s="29" t="s">
        <v>216</v>
      </c>
      <c r="B330" s="82">
        <v>1</v>
      </c>
      <c r="C330" s="30" t="s">
        <v>49</v>
      </c>
      <c r="D330" s="9">
        <v>40000</v>
      </c>
      <c r="E330" s="29" t="s">
        <v>11</v>
      </c>
      <c r="F330" s="83">
        <f>B330*D330</f>
        <v>40000</v>
      </c>
      <c r="G330" s="9" t="s">
        <v>11</v>
      </c>
      <c r="H330" s="29" t="s">
        <v>11</v>
      </c>
    </row>
    <row r="331" spans="1:8">
      <c r="A331" s="29" t="s">
        <v>68</v>
      </c>
      <c r="B331" s="87">
        <v>0.1176</v>
      </c>
      <c r="C331" s="30" t="s">
        <v>69</v>
      </c>
      <c r="D331" s="9">
        <v>170000</v>
      </c>
      <c r="E331" s="29" t="s">
        <v>11</v>
      </c>
      <c r="F331" s="29" t="s">
        <v>11</v>
      </c>
      <c r="G331" s="9">
        <f>B331*D331</f>
        <v>19992</v>
      </c>
      <c r="H331" s="29" t="s">
        <v>11</v>
      </c>
    </row>
    <row r="332" spans="1:8">
      <c r="A332" s="76" t="s">
        <v>70</v>
      </c>
      <c r="B332" s="85">
        <f>ROUND((SUM(E332:H332)),0)</f>
        <v>59992</v>
      </c>
      <c r="C332" s="78" t="s">
        <v>73</v>
      </c>
      <c r="D332" s="86"/>
      <c r="E332" s="80">
        <f>SUM(E330:E331)</f>
        <v>0</v>
      </c>
      <c r="F332" s="80">
        <f>SUM(F330:F331)</f>
        <v>40000</v>
      </c>
      <c r="G332" s="80">
        <f>SUM(G330:G331)</f>
        <v>19992</v>
      </c>
      <c r="H332" s="80">
        <f>SUM(H330:H331)</f>
        <v>0</v>
      </c>
    </row>
    <row r="334" spans="1:8">
      <c r="A334" s="63" t="s">
        <v>217</v>
      </c>
    </row>
    <row r="335" spans="1:8">
      <c r="A335" s="63"/>
      <c r="E335" s="68" t="s">
        <v>61</v>
      </c>
      <c r="F335" s="68" t="s">
        <v>62</v>
      </c>
      <c r="G335" s="68" t="s">
        <v>63</v>
      </c>
      <c r="H335" s="68" t="s">
        <v>64</v>
      </c>
    </row>
    <row r="336" spans="1:8">
      <c r="A336" s="29" t="s">
        <v>218</v>
      </c>
      <c r="B336" s="82">
        <v>1</v>
      </c>
      <c r="C336" s="30" t="s">
        <v>49</v>
      </c>
      <c r="D336" s="9">
        <v>40000</v>
      </c>
      <c r="E336" s="29" t="s">
        <v>11</v>
      </c>
      <c r="F336" s="83">
        <f>B336*D336</f>
        <v>40000</v>
      </c>
      <c r="G336" s="9" t="s">
        <v>11</v>
      </c>
      <c r="H336" s="29" t="s">
        <v>11</v>
      </c>
    </row>
    <row r="337" spans="1:8">
      <c r="A337" s="29" t="s">
        <v>68</v>
      </c>
      <c r="B337" s="87">
        <v>0.1176</v>
      </c>
      <c r="C337" s="30" t="s">
        <v>69</v>
      </c>
      <c r="D337" s="9">
        <v>170000</v>
      </c>
      <c r="E337" s="29" t="s">
        <v>11</v>
      </c>
      <c r="F337" s="29" t="s">
        <v>11</v>
      </c>
      <c r="G337" s="9">
        <f>B337*D337</f>
        <v>19992</v>
      </c>
      <c r="H337" s="29" t="s">
        <v>11</v>
      </c>
    </row>
    <row r="338" spans="1:8">
      <c r="A338" s="76" t="s">
        <v>70</v>
      </c>
      <c r="B338" s="85">
        <f>ROUND((SUM(E338:H338)),0)</f>
        <v>59992</v>
      </c>
      <c r="C338" s="78" t="s">
        <v>73</v>
      </c>
      <c r="D338" s="86"/>
      <c r="E338" s="80">
        <f>SUM(E336:E337)</f>
        <v>0</v>
      </c>
      <c r="F338" s="80">
        <f>SUM(F336:F337)</f>
        <v>40000</v>
      </c>
      <c r="G338" s="80">
        <f>SUM(G336:G337)</f>
        <v>19992</v>
      </c>
      <c r="H338" s="80">
        <f>SUM(H336:H337)</f>
        <v>0</v>
      </c>
    </row>
    <row r="340" spans="1:8">
      <c r="A340" s="63" t="s">
        <v>219</v>
      </c>
    </row>
    <row r="341" spans="1:8">
      <c r="A341" s="63"/>
      <c r="E341" s="68" t="s">
        <v>61</v>
      </c>
      <c r="F341" s="68" t="s">
        <v>62</v>
      </c>
      <c r="G341" s="68" t="s">
        <v>63</v>
      </c>
      <c r="H341" s="68" t="s">
        <v>64</v>
      </c>
    </row>
    <row r="342" spans="1:8">
      <c r="A342" s="29" t="s">
        <v>220</v>
      </c>
      <c r="B342" s="82">
        <v>1</v>
      </c>
      <c r="C342" s="30" t="s">
        <v>49</v>
      </c>
      <c r="D342" s="9">
        <v>8500</v>
      </c>
      <c r="E342" s="29" t="s">
        <v>11</v>
      </c>
      <c r="F342" s="83">
        <f>B342*D342</f>
        <v>8500</v>
      </c>
      <c r="G342" s="9" t="s">
        <v>11</v>
      </c>
      <c r="H342" s="29" t="s">
        <v>11</v>
      </c>
    </row>
    <row r="343" spans="1:8">
      <c r="A343" s="29" t="s">
        <v>68</v>
      </c>
      <c r="B343" s="87">
        <v>8.8230000000000003E-2</v>
      </c>
      <c r="C343" s="30" t="s">
        <v>69</v>
      </c>
      <c r="D343" s="9">
        <v>170000</v>
      </c>
      <c r="E343" s="29" t="s">
        <v>11</v>
      </c>
      <c r="F343" s="29" t="s">
        <v>11</v>
      </c>
      <c r="G343" s="9">
        <f>B343*D343</f>
        <v>14999.1</v>
      </c>
      <c r="H343" s="29" t="s">
        <v>11</v>
      </c>
    </row>
    <row r="344" spans="1:8">
      <c r="A344" s="76" t="s">
        <v>70</v>
      </c>
      <c r="B344" s="85">
        <f>ROUND((SUM(E344:H344)),0)</f>
        <v>23499</v>
      </c>
      <c r="C344" s="78" t="s">
        <v>73</v>
      </c>
      <c r="D344" s="86"/>
      <c r="E344" s="80">
        <f>SUM(E342:E343)</f>
        <v>0</v>
      </c>
      <c r="F344" s="80">
        <f>SUM(F342:F343)</f>
        <v>8500</v>
      </c>
      <c r="G344" s="80">
        <f>SUM(G342:G343)</f>
        <v>14999.1</v>
      </c>
      <c r="H344" s="80">
        <f>SUM(H342:H343)</f>
        <v>0</v>
      </c>
    </row>
    <row r="346" spans="1:8">
      <c r="A346" s="63" t="s">
        <v>221</v>
      </c>
    </row>
    <row r="347" spans="1:8">
      <c r="A347" s="63"/>
      <c r="E347" s="68" t="s">
        <v>61</v>
      </c>
      <c r="F347" s="68" t="s">
        <v>62</v>
      </c>
      <c r="G347" s="68" t="s">
        <v>63</v>
      </c>
      <c r="H347" s="68" t="s">
        <v>64</v>
      </c>
    </row>
    <row r="348" spans="1:8">
      <c r="A348" s="29" t="s">
        <v>222</v>
      </c>
      <c r="B348" s="82">
        <v>1</v>
      </c>
      <c r="C348" s="30" t="s">
        <v>49</v>
      </c>
      <c r="D348" s="9">
        <v>107000</v>
      </c>
      <c r="E348" s="29" t="s">
        <v>11</v>
      </c>
      <c r="F348" s="83">
        <f>B348*D348</f>
        <v>107000</v>
      </c>
      <c r="G348" s="9" t="s">
        <v>11</v>
      </c>
      <c r="H348" s="29" t="s">
        <v>11</v>
      </c>
    </row>
    <row r="349" spans="1:8">
      <c r="A349" s="29" t="s">
        <v>68</v>
      </c>
      <c r="B349" s="87">
        <v>8.8230000000000003E-2</v>
      </c>
      <c r="C349" s="30" t="s">
        <v>69</v>
      </c>
      <c r="D349" s="9">
        <v>170000</v>
      </c>
      <c r="E349" s="29" t="s">
        <v>11</v>
      </c>
      <c r="F349" s="29" t="s">
        <v>11</v>
      </c>
      <c r="G349" s="9">
        <f>B349*D349</f>
        <v>14999.1</v>
      </c>
      <c r="H349" s="29" t="s">
        <v>11</v>
      </c>
    </row>
    <row r="350" spans="1:8">
      <c r="A350" s="76" t="s">
        <v>70</v>
      </c>
      <c r="B350" s="85">
        <f>ROUND((SUM(E350:H350)),0)</f>
        <v>121999</v>
      </c>
      <c r="C350" s="78" t="s">
        <v>73</v>
      </c>
      <c r="D350" s="86"/>
      <c r="E350" s="80">
        <f>SUM(E348:E349)</f>
        <v>0</v>
      </c>
      <c r="F350" s="80">
        <f>SUM(F348:F349)</f>
        <v>107000</v>
      </c>
      <c r="G350" s="80">
        <f>SUM(G348:G349)</f>
        <v>14999.1</v>
      </c>
      <c r="H350" s="80">
        <f>SUM(H348:H349)</f>
        <v>0</v>
      </c>
    </row>
    <row r="352" spans="1:8">
      <c r="A352" s="63" t="s">
        <v>223</v>
      </c>
    </row>
    <row r="353" spans="1:8">
      <c r="A353" s="63"/>
      <c r="E353" s="68" t="s">
        <v>61</v>
      </c>
      <c r="F353" s="68" t="s">
        <v>62</v>
      </c>
      <c r="G353" s="68" t="s">
        <v>63</v>
      </c>
      <c r="H353" s="68" t="s">
        <v>64</v>
      </c>
    </row>
    <row r="354" spans="1:8">
      <c r="A354" s="29" t="s">
        <v>224</v>
      </c>
      <c r="B354" s="82">
        <v>1</v>
      </c>
      <c r="C354" s="30" t="s">
        <v>49</v>
      </c>
      <c r="D354" s="9">
        <v>1200</v>
      </c>
      <c r="E354" s="29" t="s">
        <v>11</v>
      </c>
      <c r="F354" s="83">
        <f>B354*D354</f>
        <v>1200</v>
      </c>
      <c r="G354" s="9" t="s">
        <v>11</v>
      </c>
      <c r="H354" s="29" t="s">
        <v>11</v>
      </c>
    </row>
    <row r="355" spans="1:8">
      <c r="A355" s="29" t="s">
        <v>201</v>
      </c>
      <c r="B355" s="82">
        <v>15</v>
      </c>
      <c r="C355" s="30" t="s">
        <v>66</v>
      </c>
      <c r="D355" s="9">
        <v>790</v>
      </c>
      <c r="E355" s="29" t="s">
        <v>11</v>
      </c>
      <c r="F355" s="83">
        <f>B355*D355</f>
        <v>11850</v>
      </c>
      <c r="G355" s="9" t="s">
        <v>11</v>
      </c>
      <c r="H355" s="29" t="s">
        <v>11</v>
      </c>
    </row>
    <row r="356" spans="1:8">
      <c r="A356" s="29" t="s">
        <v>197</v>
      </c>
      <c r="B356" s="82">
        <v>5</v>
      </c>
      <c r="C356" s="30" t="s">
        <v>66</v>
      </c>
      <c r="D356" s="29">
        <v>700</v>
      </c>
      <c r="E356" s="29" t="s">
        <v>11</v>
      </c>
      <c r="F356" s="83">
        <f>B356*D356</f>
        <v>3500</v>
      </c>
      <c r="G356" s="9" t="s">
        <v>11</v>
      </c>
      <c r="H356" s="29" t="s">
        <v>11</v>
      </c>
    </row>
    <row r="357" spans="1:8">
      <c r="A357" s="29" t="s">
        <v>225</v>
      </c>
      <c r="B357" s="82">
        <v>2</v>
      </c>
      <c r="C357" s="30" t="s">
        <v>49</v>
      </c>
      <c r="D357" s="29">
        <v>190</v>
      </c>
      <c r="E357" s="29" t="s">
        <v>11</v>
      </c>
      <c r="F357" s="83">
        <f>B357*D357</f>
        <v>380</v>
      </c>
      <c r="G357" s="9" t="s">
        <v>11</v>
      </c>
      <c r="H357" s="29" t="s">
        <v>11</v>
      </c>
    </row>
    <row r="358" spans="1:8">
      <c r="A358" s="29" t="s">
        <v>226</v>
      </c>
      <c r="B358" s="82">
        <v>6</v>
      </c>
      <c r="C358" s="30" t="s">
        <v>49</v>
      </c>
      <c r="D358" s="29">
        <v>850</v>
      </c>
      <c r="E358" s="29" t="s">
        <v>11</v>
      </c>
      <c r="F358" s="83">
        <f>B358*D358</f>
        <v>5100</v>
      </c>
      <c r="G358" s="9" t="s">
        <v>11</v>
      </c>
      <c r="H358" s="29" t="s">
        <v>11</v>
      </c>
    </row>
    <row r="359" spans="1:8">
      <c r="A359" s="29" t="s">
        <v>68</v>
      </c>
      <c r="B359" s="87">
        <v>0.10589999999999999</v>
      </c>
      <c r="C359" s="30" t="s">
        <v>69</v>
      </c>
      <c r="D359" s="9">
        <v>170000</v>
      </c>
      <c r="E359" s="29" t="s">
        <v>11</v>
      </c>
      <c r="F359" s="29" t="s">
        <v>11</v>
      </c>
      <c r="G359" s="9">
        <f>B359*D359</f>
        <v>18003</v>
      </c>
      <c r="H359" s="29" t="s">
        <v>11</v>
      </c>
    </row>
    <row r="360" spans="1:8">
      <c r="A360" s="76" t="s">
        <v>70</v>
      </c>
      <c r="B360" s="85">
        <f>ROUND((SUM(E360:H360)),0)</f>
        <v>40033</v>
      </c>
      <c r="C360" s="78" t="s">
        <v>73</v>
      </c>
      <c r="D360" s="86"/>
      <c r="E360" s="80">
        <f>SUM(E354:E359)</f>
        <v>0</v>
      </c>
      <c r="F360" s="80">
        <f>SUM(F354:F359)</f>
        <v>22030</v>
      </c>
      <c r="G360" s="80">
        <f>SUM(G354:G359)</f>
        <v>18003</v>
      </c>
      <c r="H360" s="80">
        <f>SUM(H354:H359)</f>
        <v>0</v>
      </c>
    </row>
    <row r="362" spans="1:8">
      <c r="A362" s="63" t="s">
        <v>227</v>
      </c>
    </row>
    <row r="363" spans="1:8">
      <c r="A363" s="63"/>
      <c r="E363" s="68" t="s">
        <v>61</v>
      </c>
      <c r="F363" s="68" t="s">
        <v>62</v>
      </c>
      <c r="G363" s="68" t="s">
        <v>63</v>
      </c>
      <c r="H363" s="68" t="s">
        <v>64</v>
      </c>
    </row>
    <row r="364" spans="1:8">
      <c r="A364" s="29" t="s">
        <v>224</v>
      </c>
      <c r="B364" s="82">
        <v>1</v>
      </c>
      <c r="C364" s="30" t="s">
        <v>49</v>
      </c>
      <c r="D364" s="9">
        <v>1200</v>
      </c>
      <c r="E364" s="29" t="s">
        <v>11</v>
      </c>
      <c r="F364" s="83">
        <f t="shared" ref="F364:F369" si="3">B364*D364</f>
        <v>1200</v>
      </c>
      <c r="G364" s="9" t="s">
        <v>11</v>
      </c>
      <c r="H364" s="29" t="s">
        <v>11</v>
      </c>
    </row>
    <row r="365" spans="1:8">
      <c r="A365" s="29" t="s">
        <v>201</v>
      </c>
      <c r="B365" s="82">
        <v>18</v>
      </c>
      <c r="C365" s="30" t="s">
        <v>66</v>
      </c>
      <c r="D365" s="9">
        <v>790</v>
      </c>
      <c r="E365" s="29" t="s">
        <v>11</v>
      </c>
      <c r="F365" s="83">
        <f t="shared" si="3"/>
        <v>14220</v>
      </c>
      <c r="G365" s="9" t="s">
        <v>11</v>
      </c>
      <c r="H365" s="29" t="s">
        <v>11</v>
      </c>
    </row>
    <row r="366" spans="1:8">
      <c r="A366" s="29" t="s">
        <v>228</v>
      </c>
      <c r="B366" s="82">
        <v>6</v>
      </c>
      <c r="C366" s="30" t="s">
        <v>66</v>
      </c>
      <c r="D366" s="29">
        <v>1900</v>
      </c>
      <c r="E366" s="29" t="s">
        <v>11</v>
      </c>
      <c r="F366" s="83">
        <f t="shared" si="3"/>
        <v>11400</v>
      </c>
      <c r="G366" s="9" t="s">
        <v>11</v>
      </c>
      <c r="H366" s="29" t="s">
        <v>11</v>
      </c>
    </row>
    <row r="367" spans="1:8">
      <c r="A367" s="29" t="s">
        <v>229</v>
      </c>
      <c r="B367" s="82">
        <v>1</v>
      </c>
      <c r="C367" s="30" t="s">
        <v>8</v>
      </c>
      <c r="D367" s="29">
        <v>400</v>
      </c>
      <c r="E367" s="29"/>
      <c r="F367" s="83">
        <f t="shared" si="3"/>
        <v>400</v>
      </c>
      <c r="G367" s="9"/>
      <c r="H367" s="29"/>
    </row>
    <row r="368" spans="1:8">
      <c r="A368" s="29" t="s">
        <v>230</v>
      </c>
      <c r="B368" s="82">
        <v>2</v>
      </c>
      <c r="C368" s="30" t="s">
        <v>49</v>
      </c>
      <c r="D368" s="29">
        <v>400</v>
      </c>
      <c r="E368" s="29" t="s">
        <v>11</v>
      </c>
      <c r="F368" s="83">
        <f t="shared" si="3"/>
        <v>800</v>
      </c>
      <c r="G368" s="9" t="s">
        <v>11</v>
      </c>
      <c r="H368" s="29" t="s">
        <v>11</v>
      </c>
    </row>
    <row r="369" spans="1:8">
      <c r="A369" s="29" t="s">
        <v>226</v>
      </c>
      <c r="B369" s="82">
        <v>6</v>
      </c>
      <c r="C369" s="30" t="s">
        <v>49</v>
      </c>
      <c r="D369" s="29">
        <v>850</v>
      </c>
      <c r="E369" s="29" t="s">
        <v>11</v>
      </c>
      <c r="F369" s="83">
        <f t="shared" si="3"/>
        <v>5100</v>
      </c>
      <c r="G369" s="9" t="s">
        <v>11</v>
      </c>
      <c r="H369" s="29" t="s">
        <v>11</v>
      </c>
    </row>
    <row r="370" spans="1:8">
      <c r="A370" s="29" t="s">
        <v>68</v>
      </c>
      <c r="B370" s="87">
        <v>0.1176</v>
      </c>
      <c r="C370" s="30" t="s">
        <v>69</v>
      </c>
      <c r="D370" s="9">
        <v>170000</v>
      </c>
      <c r="E370" s="29" t="s">
        <v>11</v>
      </c>
      <c r="F370" s="29" t="s">
        <v>11</v>
      </c>
      <c r="G370" s="9">
        <f>B370*D370</f>
        <v>19992</v>
      </c>
      <c r="H370" s="29" t="s">
        <v>11</v>
      </c>
    </row>
    <row r="371" spans="1:8">
      <c r="A371" s="76" t="s">
        <v>70</v>
      </c>
      <c r="B371" s="85">
        <f>ROUND((SUM(E371:H371)),0)</f>
        <v>53112</v>
      </c>
      <c r="C371" s="78" t="s">
        <v>73</v>
      </c>
      <c r="D371" s="86"/>
      <c r="E371" s="80">
        <f>SUM(E364:E370)</f>
        <v>0</v>
      </c>
      <c r="F371" s="80">
        <f>SUM(F364:F370)</f>
        <v>33120</v>
      </c>
      <c r="G371" s="80">
        <f>SUM(G364:G370)</f>
        <v>19992</v>
      </c>
      <c r="H371" s="80">
        <f>SUM(H364:H370)</f>
        <v>0</v>
      </c>
    </row>
    <row r="373" spans="1:8">
      <c r="A373" s="63" t="s">
        <v>231</v>
      </c>
    </row>
    <row r="374" spans="1:8">
      <c r="A374" s="63"/>
      <c r="E374" s="68" t="s">
        <v>61</v>
      </c>
      <c r="F374" s="68" t="s">
        <v>62</v>
      </c>
      <c r="G374" s="68" t="s">
        <v>63</v>
      </c>
      <c r="H374" s="68" t="s">
        <v>64</v>
      </c>
    </row>
    <row r="375" spans="1:8">
      <c r="A375" s="29" t="s">
        <v>232</v>
      </c>
      <c r="B375" s="82">
        <v>1</v>
      </c>
      <c r="C375" s="30" t="s">
        <v>49</v>
      </c>
      <c r="D375" s="9">
        <v>1200</v>
      </c>
      <c r="E375" s="29" t="s">
        <v>11</v>
      </c>
      <c r="F375" s="83">
        <f t="shared" ref="F375:F380" si="4">B375*D375</f>
        <v>1200</v>
      </c>
      <c r="G375" s="9" t="s">
        <v>11</v>
      </c>
      <c r="H375" s="29" t="s">
        <v>11</v>
      </c>
    </row>
    <row r="376" spans="1:8">
      <c r="A376" s="29" t="s">
        <v>201</v>
      </c>
      <c r="B376" s="82">
        <v>12</v>
      </c>
      <c r="C376" s="30" t="s">
        <v>66</v>
      </c>
      <c r="D376" s="9">
        <v>790</v>
      </c>
      <c r="E376" s="29" t="s">
        <v>11</v>
      </c>
      <c r="F376" s="83">
        <f t="shared" si="4"/>
        <v>9480</v>
      </c>
      <c r="G376" s="9" t="s">
        <v>11</v>
      </c>
      <c r="H376" s="29" t="s">
        <v>11</v>
      </c>
    </row>
    <row r="377" spans="1:8">
      <c r="A377" s="29" t="s">
        <v>197</v>
      </c>
      <c r="B377" s="82">
        <v>4</v>
      </c>
      <c r="C377" s="30" t="s">
        <v>66</v>
      </c>
      <c r="D377" s="29">
        <v>700</v>
      </c>
      <c r="E377" s="29" t="s">
        <v>11</v>
      </c>
      <c r="F377" s="83">
        <f t="shared" si="4"/>
        <v>2800</v>
      </c>
      <c r="G377" s="9" t="s">
        <v>11</v>
      </c>
      <c r="H377" s="29" t="s">
        <v>11</v>
      </c>
    </row>
    <row r="378" spans="1:8">
      <c r="A378" s="29" t="s">
        <v>225</v>
      </c>
      <c r="B378" s="82">
        <v>2</v>
      </c>
      <c r="C378" s="30" t="s">
        <v>49</v>
      </c>
      <c r="D378" s="29">
        <v>190</v>
      </c>
      <c r="E378" s="29" t="s">
        <v>11</v>
      </c>
      <c r="F378" s="83">
        <f t="shared" si="4"/>
        <v>380</v>
      </c>
      <c r="G378" s="9" t="s">
        <v>11</v>
      </c>
      <c r="H378" s="29" t="s">
        <v>11</v>
      </c>
    </row>
    <row r="379" spans="1:8">
      <c r="A379" s="29" t="s">
        <v>226</v>
      </c>
      <c r="B379" s="82">
        <v>6</v>
      </c>
      <c r="C379" s="30" t="s">
        <v>49</v>
      </c>
      <c r="D379" s="29">
        <v>850</v>
      </c>
      <c r="E379" s="29" t="s">
        <v>11</v>
      </c>
      <c r="F379" s="83">
        <f t="shared" si="4"/>
        <v>5100</v>
      </c>
      <c r="G379" s="9" t="s">
        <v>11</v>
      </c>
      <c r="H379" s="29" t="s">
        <v>11</v>
      </c>
    </row>
    <row r="380" spans="1:8">
      <c r="A380" s="29" t="s">
        <v>233</v>
      </c>
      <c r="B380" s="82">
        <v>1</v>
      </c>
      <c r="C380" s="30" t="s">
        <v>49</v>
      </c>
      <c r="D380" s="9">
        <v>4000</v>
      </c>
      <c r="E380" s="29" t="s">
        <v>11</v>
      </c>
      <c r="F380" s="83">
        <f t="shared" si="4"/>
        <v>4000</v>
      </c>
      <c r="G380" s="9" t="s">
        <v>11</v>
      </c>
      <c r="H380" s="29" t="s">
        <v>11</v>
      </c>
    </row>
    <row r="381" spans="1:8">
      <c r="A381" s="29" t="s">
        <v>68</v>
      </c>
      <c r="B381" s="87">
        <v>0.10589999999999999</v>
      </c>
      <c r="C381" s="30" t="s">
        <v>69</v>
      </c>
      <c r="D381" s="9">
        <v>170000</v>
      </c>
      <c r="E381" s="29" t="s">
        <v>11</v>
      </c>
      <c r="F381" s="29" t="s">
        <v>11</v>
      </c>
      <c r="G381" s="9">
        <f>B381*D381</f>
        <v>18003</v>
      </c>
      <c r="H381" s="29" t="s">
        <v>11</v>
      </c>
    </row>
    <row r="382" spans="1:8">
      <c r="A382" s="76" t="s">
        <v>70</v>
      </c>
      <c r="B382" s="85">
        <f>ROUND((SUM(E382:H382)),0)</f>
        <v>40963</v>
      </c>
      <c r="C382" s="78" t="s">
        <v>73</v>
      </c>
      <c r="D382" s="86"/>
      <c r="E382" s="80">
        <f>SUM(E375:E381)</f>
        <v>0</v>
      </c>
      <c r="F382" s="80">
        <f>SUM(F375:F381)</f>
        <v>22960</v>
      </c>
      <c r="G382" s="80">
        <f>SUM(G375:G381)</f>
        <v>18003</v>
      </c>
      <c r="H382" s="80">
        <f>SUM(H375:H381)</f>
        <v>0</v>
      </c>
    </row>
    <row r="384" spans="1:8">
      <c r="A384" s="63" t="s">
        <v>234</v>
      </c>
    </row>
    <row r="385" spans="1:8">
      <c r="A385" s="63"/>
      <c r="E385" s="68" t="s">
        <v>61</v>
      </c>
      <c r="F385" s="68" t="s">
        <v>62</v>
      </c>
      <c r="G385" s="68" t="s">
        <v>63</v>
      </c>
      <c r="H385" s="68" t="s">
        <v>64</v>
      </c>
    </row>
    <row r="386" spans="1:8">
      <c r="A386" s="29" t="s">
        <v>232</v>
      </c>
      <c r="B386" s="82">
        <v>1</v>
      </c>
      <c r="C386" s="30" t="s">
        <v>49</v>
      </c>
      <c r="D386" s="9">
        <v>1200</v>
      </c>
      <c r="E386" s="29" t="s">
        <v>11</v>
      </c>
      <c r="F386" s="83">
        <f t="shared" ref="F386:F391" si="5">B386*D386</f>
        <v>1200</v>
      </c>
      <c r="G386" s="9" t="s">
        <v>11</v>
      </c>
      <c r="H386" s="29" t="s">
        <v>11</v>
      </c>
    </row>
    <row r="387" spans="1:8">
      <c r="A387" s="29" t="s">
        <v>201</v>
      </c>
      <c r="B387" s="82">
        <v>16</v>
      </c>
      <c r="C387" s="30" t="s">
        <v>66</v>
      </c>
      <c r="D387" s="9">
        <v>790</v>
      </c>
      <c r="E387" s="29" t="s">
        <v>11</v>
      </c>
      <c r="F387" s="83">
        <f t="shared" si="5"/>
        <v>12640</v>
      </c>
      <c r="G387" s="9" t="s">
        <v>11</v>
      </c>
      <c r="H387" s="29" t="s">
        <v>11</v>
      </c>
    </row>
    <row r="388" spans="1:8">
      <c r="A388" s="29" t="s">
        <v>197</v>
      </c>
      <c r="B388" s="82">
        <v>4</v>
      </c>
      <c r="C388" s="30" t="s">
        <v>66</v>
      </c>
      <c r="D388" s="29">
        <v>700</v>
      </c>
      <c r="E388" s="29" t="s">
        <v>11</v>
      </c>
      <c r="F388" s="83">
        <f t="shared" si="5"/>
        <v>2800</v>
      </c>
      <c r="G388" s="9" t="s">
        <v>11</v>
      </c>
      <c r="H388" s="29" t="s">
        <v>11</v>
      </c>
    </row>
    <row r="389" spans="1:8">
      <c r="A389" s="29" t="s">
        <v>225</v>
      </c>
      <c r="B389" s="82">
        <v>2</v>
      </c>
      <c r="C389" s="30" t="s">
        <v>49</v>
      </c>
      <c r="D389" s="29">
        <v>190</v>
      </c>
      <c r="E389" s="29" t="s">
        <v>11</v>
      </c>
      <c r="F389" s="83">
        <f t="shared" si="5"/>
        <v>380</v>
      </c>
      <c r="G389" s="9" t="s">
        <v>11</v>
      </c>
      <c r="H389" s="29" t="s">
        <v>11</v>
      </c>
    </row>
    <row r="390" spans="1:8">
      <c r="A390" s="29" t="s">
        <v>226</v>
      </c>
      <c r="B390" s="82">
        <v>6</v>
      </c>
      <c r="C390" s="30" t="s">
        <v>49</v>
      </c>
      <c r="D390" s="29">
        <v>850</v>
      </c>
      <c r="E390" s="29" t="s">
        <v>11</v>
      </c>
      <c r="F390" s="83">
        <f t="shared" si="5"/>
        <v>5100</v>
      </c>
      <c r="G390" s="9" t="s">
        <v>11</v>
      </c>
      <c r="H390" s="29" t="s">
        <v>11</v>
      </c>
    </row>
    <row r="391" spans="1:8">
      <c r="A391" s="29" t="s">
        <v>235</v>
      </c>
      <c r="B391" s="82">
        <v>1</v>
      </c>
      <c r="C391" s="30" t="s">
        <v>49</v>
      </c>
      <c r="D391" s="9">
        <v>5700</v>
      </c>
      <c r="E391" s="29" t="s">
        <v>11</v>
      </c>
      <c r="F391" s="83">
        <f t="shared" si="5"/>
        <v>5700</v>
      </c>
      <c r="G391" s="9" t="s">
        <v>11</v>
      </c>
      <c r="H391" s="29" t="s">
        <v>11</v>
      </c>
    </row>
    <row r="392" spans="1:8">
      <c r="A392" s="29" t="s">
        <v>68</v>
      </c>
      <c r="B392" s="87">
        <v>0.10589999999999999</v>
      </c>
      <c r="C392" s="30" t="s">
        <v>69</v>
      </c>
      <c r="D392" s="9">
        <v>170000</v>
      </c>
      <c r="E392" s="29" t="s">
        <v>11</v>
      </c>
      <c r="F392" s="29" t="s">
        <v>11</v>
      </c>
      <c r="G392" s="9">
        <f>B392*D392</f>
        <v>18003</v>
      </c>
      <c r="H392" s="29" t="s">
        <v>11</v>
      </c>
    </row>
    <row r="393" spans="1:8">
      <c r="A393" s="76" t="s">
        <v>70</v>
      </c>
      <c r="B393" s="85">
        <f>ROUND((SUM(E393:H393)),0)</f>
        <v>45823</v>
      </c>
      <c r="C393" s="78" t="s">
        <v>73</v>
      </c>
      <c r="D393" s="86"/>
      <c r="E393" s="80">
        <f>SUM(E386:E392)</f>
        <v>0</v>
      </c>
      <c r="F393" s="80">
        <f>SUM(F386:F392)</f>
        <v>27820</v>
      </c>
      <c r="G393" s="80">
        <f>SUM(G386:G392)</f>
        <v>18003</v>
      </c>
      <c r="H393" s="80">
        <f>SUM(H386:H392)</f>
        <v>0</v>
      </c>
    </row>
    <row r="395" spans="1:8">
      <c r="A395" s="63" t="s">
        <v>236</v>
      </c>
    </row>
    <row r="396" spans="1:8">
      <c r="A396" s="63"/>
      <c r="E396" s="68" t="s">
        <v>61</v>
      </c>
      <c r="F396" s="68" t="s">
        <v>62</v>
      </c>
      <c r="G396" s="68" t="s">
        <v>63</v>
      </c>
      <c r="H396" s="68" t="s">
        <v>64</v>
      </c>
    </row>
    <row r="397" spans="1:8">
      <c r="A397" s="29" t="s">
        <v>232</v>
      </c>
      <c r="B397" s="82">
        <v>1</v>
      </c>
      <c r="C397" s="30" t="s">
        <v>49</v>
      </c>
      <c r="D397" s="9">
        <v>1200</v>
      </c>
      <c r="E397" s="29" t="s">
        <v>11</v>
      </c>
      <c r="F397" s="83">
        <f t="shared" ref="F397:F402" si="6">B397*D397</f>
        <v>1200</v>
      </c>
      <c r="G397" s="9" t="s">
        <v>11</v>
      </c>
      <c r="H397" s="29" t="s">
        <v>11</v>
      </c>
    </row>
    <row r="398" spans="1:8">
      <c r="A398" s="29" t="s">
        <v>201</v>
      </c>
      <c r="B398" s="82">
        <v>20</v>
      </c>
      <c r="C398" s="30" t="s">
        <v>66</v>
      </c>
      <c r="D398" s="9">
        <v>790</v>
      </c>
      <c r="E398" s="29" t="s">
        <v>11</v>
      </c>
      <c r="F398" s="83">
        <f t="shared" si="6"/>
        <v>15800</v>
      </c>
      <c r="G398" s="9" t="s">
        <v>11</v>
      </c>
      <c r="H398" s="29" t="s">
        <v>11</v>
      </c>
    </row>
    <row r="399" spans="1:8">
      <c r="A399" s="29" t="s">
        <v>197</v>
      </c>
      <c r="B399" s="82">
        <v>4</v>
      </c>
      <c r="C399" s="30" t="s">
        <v>66</v>
      </c>
      <c r="D399" s="29">
        <v>700</v>
      </c>
      <c r="E399" s="29" t="s">
        <v>11</v>
      </c>
      <c r="F399" s="83">
        <f t="shared" si="6"/>
        <v>2800</v>
      </c>
      <c r="G399" s="9" t="s">
        <v>11</v>
      </c>
      <c r="H399" s="29" t="s">
        <v>11</v>
      </c>
    </row>
    <row r="400" spans="1:8">
      <c r="A400" s="29" t="s">
        <v>225</v>
      </c>
      <c r="B400" s="82">
        <v>2</v>
      </c>
      <c r="C400" s="30" t="s">
        <v>49</v>
      </c>
      <c r="D400" s="29">
        <v>190</v>
      </c>
      <c r="E400" s="29" t="s">
        <v>11</v>
      </c>
      <c r="F400" s="83">
        <f t="shared" si="6"/>
        <v>380</v>
      </c>
      <c r="G400" s="9" t="s">
        <v>11</v>
      </c>
      <c r="H400" s="29" t="s">
        <v>11</v>
      </c>
    </row>
    <row r="401" spans="1:8">
      <c r="A401" s="29" t="s">
        <v>226</v>
      </c>
      <c r="B401" s="82">
        <v>6</v>
      </c>
      <c r="C401" s="30" t="s">
        <v>49</v>
      </c>
      <c r="D401" s="29">
        <v>850</v>
      </c>
      <c r="E401" s="29" t="s">
        <v>11</v>
      </c>
      <c r="F401" s="83">
        <f t="shared" si="6"/>
        <v>5100</v>
      </c>
      <c r="G401" s="9" t="s">
        <v>11</v>
      </c>
      <c r="H401" s="29" t="s">
        <v>11</v>
      </c>
    </row>
    <row r="402" spans="1:8">
      <c r="A402" s="29" t="s">
        <v>237</v>
      </c>
      <c r="B402" s="82">
        <v>1</v>
      </c>
      <c r="C402" s="30" t="s">
        <v>49</v>
      </c>
      <c r="D402" s="9">
        <v>8100</v>
      </c>
      <c r="E402" s="29" t="s">
        <v>11</v>
      </c>
      <c r="F402" s="83">
        <f t="shared" si="6"/>
        <v>8100</v>
      </c>
      <c r="G402" s="9" t="s">
        <v>11</v>
      </c>
      <c r="H402" s="29" t="s">
        <v>11</v>
      </c>
    </row>
    <row r="403" spans="1:8">
      <c r="A403" s="29" t="s">
        <v>68</v>
      </c>
      <c r="B403" s="87">
        <v>0.10589999999999999</v>
      </c>
      <c r="C403" s="30" t="s">
        <v>69</v>
      </c>
      <c r="D403" s="9">
        <v>170000</v>
      </c>
      <c r="E403" s="29" t="s">
        <v>11</v>
      </c>
      <c r="F403" s="29" t="s">
        <v>11</v>
      </c>
      <c r="G403" s="9">
        <f>B403*D403</f>
        <v>18003</v>
      </c>
      <c r="H403" s="29" t="s">
        <v>11</v>
      </c>
    </row>
    <row r="404" spans="1:8">
      <c r="A404" s="76" t="s">
        <v>70</v>
      </c>
      <c r="B404" s="85">
        <f>ROUND((SUM(E404:H404)),0)</f>
        <v>51383</v>
      </c>
      <c r="C404" s="78" t="s">
        <v>73</v>
      </c>
      <c r="D404" s="86"/>
      <c r="E404" s="80">
        <f>SUM(E397:E403)</f>
        <v>0</v>
      </c>
      <c r="F404" s="80">
        <f>SUM(F397:F403)</f>
        <v>33380</v>
      </c>
      <c r="G404" s="80">
        <f>SUM(G397:G403)</f>
        <v>18003</v>
      </c>
      <c r="H404" s="80">
        <f>SUM(H397:H403)</f>
        <v>0</v>
      </c>
    </row>
    <row r="406" spans="1:8">
      <c r="A406" s="63" t="s">
        <v>238</v>
      </c>
    </row>
    <row r="407" spans="1:8">
      <c r="A407" s="63"/>
      <c r="E407" s="68" t="s">
        <v>61</v>
      </c>
      <c r="F407" s="68" t="s">
        <v>62</v>
      </c>
      <c r="G407" s="68" t="s">
        <v>63</v>
      </c>
      <c r="H407" s="68" t="s">
        <v>64</v>
      </c>
    </row>
    <row r="408" spans="1:8">
      <c r="A408" s="29" t="s">
        <v>232</v>
      </c>
      <c r="B408" s="82">
        <v>1</v>
      </c>
      <c r="C408" s="30" t="s">
        <v>49</v>
      </c>
      <c r="D408" s="9">
        <v>1200</v>
      </c>
      <c r="E408" s="29" t="s">
        <v>11</v>
      </c>
      <c r="F408" s="83">
        <f t="shared" ref="F408:F413" si="7">B408*D408</f>
        <v>1200</v>
      </c>
      <c r="G408" s="9" t="s">
        <v>11</v>
      </c>
      <c r="H408" s="29" t="s">
        <v>11</v>
      </c>
    </row>
    <row r="409" spans="1:8">
      <c r="A409" s="29" t="s">
        <v>201</v>
      </c>
      <c r="B409" s="82">
        <v>20</v>
      </c>
      <c r="C409" s="30" t="s">
        <v>66</v>
      </c>
      <c r="D409" s="9">
        <v>790</v>
      </c>
      <c r="E409" s="29" t="s">
        <v>11</v>
      </c>
      <c r="F409" s="83">
        <f t="shared" si="7"/>
        <v>15800</v>
      </c>
      <c r="G409" s="9" t="s">
        <v>11</v>
      </c>
      <c r="H409" s="29" t="s">
        <v>11</v>
      </c>
    </row>
    <row r="410" spans="1:8">
      <c r="A410" s="29" t="s">
        <v>197</v>
      </c>
      <c r="B410" s="82">
        <v>4</v>
      </c>
      <c r="C410" s="30" t="s">
        <v>66</v>
      </c>
      <c r="D410" s="29">
        <v>700</v>
      </c>
      <c r="E410" s="29" t="s">
        <v>11</v>
      </c>
      <c r="F410" s="83">
        <f t="shared" si="7"/>
        <v>2800</v>
      </c>
      <c r="G410" s="9" t="s">
        <v>11</v>
      </c>
      <c r="H410" s="29" t="s">
        <v>11</v>
      </c>
    </row>
    <row r="411" spans="1:8">
      <c r="A411" s="29" t="s">
        <v>225</v>
      </c>
      <c r="B411" s="82">
        <v>2</v>
      </c>
      <c r="C411" s="30" t="s">
        <v>49</v>
      </c>
      <c r="D411" s="29">
        <v>190</v>
      </c>
      <c r="E411" s="29" t="s">
        <v>11</v>
      </c>
      <c r="F411" s="83">
        <f t="shared" si="7"/>
        <v>380</v>
      </c>
      <c r="G411" s="9" t="s">
        <v>11</v>
      </c>
      <c r="H411" s="29" t="s">
        <v>11</v>
      </c>
    </row>
    <row r="412" spans="1:8">
      <c r="A412" s="29" t="s">
        <v>226</v>
      </c>
      <c r="B412" s="82">
        <v>6</v>
      </c>
      <c r="C412" s="30" t="s">
        <v>49</v>
      </c>
      <c r="D412" s="29">
        <v>850</v>
      </c>
      <c r="E412" s="29" t="s">
        <v>11</v>
      </c>
      <c r="F412" s="83">
        <f t="shared" si="7"/>
        <v>5100</v>
      </c>
      <c r="G412" s="9" t="s">
        <v>11</v>
      </c>
      <c r="H412" s="29" t="s">
        <v>11</v>
      </c>
    </row>
    <row r="413" spans="1:8">
      <c r="A413" s="29" t="s">
        <v>239</v>
      </c>
      <c r="B413" s="82">
        <v>1</v>
      </c>
      <c r="C413" s="30" t="s">
        <v>49</v>
      </c>
      <c r="D413" s="9">
        <v>6800</v>
      </c>
      <c r="E413" s="29" t="s">
        <v>11</v>
      </c>
      <c r="F413" s="83">
        <f t="shared" si="7"/>
        <v>6800</v>
      </c>
      <c r="G413" s="9" t="s">
        <v>11</v>
      </c>
      <c r="H413" s="29" t="s">
        <v>11</v>
      </c>
    </row>
    <row r="414" spans="1:8">
      <c r="A414" s="29" t="s">
        <v>68</v>
      </c>
      <c r="B414" s="87">
        <v>0.10589999999999999</v>
      </c>
      <c r="C414" s="30" t="s">
        <v>69</v>
      </c>
      <c r="D414" s="9">
        <v>170000</v>
      </c>
      <c r="E414" s="29" t="s">
        <v>11</v>
      </c>
      <c r="F414" s="29" t="s">
        <v>11</v>
      </c>
      <c r="G414" s="9">
        <f>B414*D414</f>
        <v>18003</v>
      </c>
      <c r="H414" s="29" t="s">
        <v>11</v>
      </c>
    </row>
    <row r="415" spans="1:8">
      <c r="A415" s="76" t="s">
        <v>70</v>
      </c>
      <c r="B415" s="85">
        <f>ROUND((SUM(E415:H415)),0)</f>
        <v>50083</v>
      </c>
      <c r="C415" s="78" t="s">
        <v>73</v>
      </c>
      <c r="D415" s="86"/>
      <c r="E415" s="80">
        <f>SUM(E408:E414)</f>
        <v>0</v>
      </c>
      <c r="F415" s="80">
        <f>SUM(F408:F414)</f>
        <v>32080</v>
      </c>
      <c r="G415" s="80">
        <f>SUM(G408:G414)</f>
        <v>18003</v>
      </c>
      <c r="H415" s="80">
        <f>SUM(H408:H414)</f>
        <v>0</v>
      </c>
    </row>
    <row r="417" spans="1:8">
      <c r="A417" s="63" t="s">
        <v>240</v>
      </c>
    </row>
    <row r="418" spans="1:8">
      <c r="A418" s="63"/>
      <c r="E418" s="68" t="s">
        <v>61</v>
      </c>
      <c r="F418" s="68" t="s">
        <v>62</v>
      </c>
      <c r="G418" s="68" t="s">
        <v>63</v>
      </c>
      <c r="H418" s="68" t="s">
        <v>64</v>
      </c>
    </row>
    <row r="419" spans="1:8">
      <c r="A419" s="29" t="s">
        <v>232</v>
      </c>
      <c r="B419" s="82">
        <v>1</v>
      </c>
      <c r="C419" s="30" t="s">
        <v>49</v>
      </c>
      <c r="D419" s="9">
        <v>1200</v>
      </c>
      <c r="E419" s="29" t="s">
        <v>11</v>
      </c>
      <c r="F419" s="83">
        <f t="shared" ref="F419:F424" si="8">B419*D419</f>
        <v>1200</v>
      </c>
      <c r="G419" s="9" t="s">
        <v>11</v>
      </c>
      <c r="H419" s="29" t="s">
        <v>11</v>
      </c>
    </row>
    <row r="420" spans="1:8">
      <c r="A420" s="29" t="s">
        <v>201</v>
      </c>
      <c r="B420" s="82">
        <v>12</v>
      </c>
      <c r="C420" s="30" t="s">
        <v>66</v>
      </c>
      <c r="D420" s="9">
        <v>790</v>
      </c>
      <c r="E420" s="29" t="s">
        <v>11</v>
      </c>
      <c r="F420" s="83">
        <f t="shared" si="8"/>
        <v>9480</v>
      </c>
      <c r="G420" s="9" t="s">
        <v>11</v>
      </c>
      <c r="H420" s="29" t="s">
        <v>11</v>
      </c>
    </row>
    <row r="421" spans="1:8">
      <c r="A421" s="29" t="s">
        <v>197</v>
      </c>
      <c r="B421" s="82">
        <v>4</v>
      </c>
      <c r="C421" s="30" t="s">
        <v>66</v>
      </c>
      <c r="D421" s="29">
        <v>700</v>
      </c>
      <c r="E421" s="29" t="s">
        <v>11</v>
      </c>
      <c r="F421" s="83">
        <f t="shared" si="8"/>
        <v>2800</v>
      </c>
      <c r="G421" s="9" t="s">
        <v>11</v>
      </c>
      <c r="H421" s="29" t="s">
        <v>11</v>
      </c>
    </row>
    <row r="422" spans="1:8">
      <c r="A422" s="29" t="s">
        <v>225</v>
      </c>
      <c r="B422" s="82">
        <v>2</v>
      </c>
      <c r="C422" s="30" t="s">
        <v>49</v>
      </c>
      <c r="D422" s="29">
        <v>190</v>
      </c>
      <c r="E422" s="29" t="s">
        <v>11</v>
      </c>
      <c r="F422" s="83">
        <f t="shared" si="8"/>
        <v>380</v>
      </c>
      <c r="G422" s="9" t="s">
        <v>11</v>
      </c>
      <c r="H422" s="29" t="s">
        <v>11</v>
      </c>
    </row>
    <row r="423" spans="1:8">
      <c r="A423" s="29" t="s">
        <v>226</v>
      </c>
      <c r="B423" s="82">
        <v>6</v>
      </c>
      <c r="C423" s="30" t="s">
        <v>49</v>
      </c>
      <c r="D423" s="29">
        <v>850</v>
      </c>
      <c r="E423" s="29" t="s">
        <v>11</v>
      </c>
      <c r="F423" s="83">
        <f t="shared" si="8"/>
        <v>5100</v>
      </c>
      <c r="G423" s="9" t="s">
        <v>11</v>
      </c>
      <c r="H423" s="29" t="s">
        <v>11</v>
      </c>
    </row>
    <row r="424" spans="1:8">
      <c r="A424" s="29" t="s">
        <v>241</v>
      </c>
      <c r="B424" s="82">
        <v>1</v>
      </c>
      <c r="C424" s="30" t="s">
        <v>49</v>
      </c>
      <c r="D424" s="9">
        <v>4500</v>
      </c>
      <c r="E424" s="29" t="s">
        <v>11</v>
      </c>
      <c r="F424" s="83">
        <f t="shared" si="8"/>
        <v>4500</v>
      </c>
      <c r="G424" s="9" t="s">
        <v>11</v>
      </c>
      <c r="H424" s="29" t="s">
        <v>11</v>
      </c>
    </row>
    <row r="425" spans="1:8">
      <c r="A425" s="29" t="s">
        <v>68</v>
      </c>
      <c r="B425" s="87">
        <v>0.10589999999999999</v>
      </c>
      <c r="C425" s="30" t="s">
        <v>69</v>
      </c>
      <c r="D425" s="9">
        <v>170000</v>
      </c>
      <c r="E425" s="29" t="s">
        <v>11</v>
      </c>
      <c r="F425" s="29" t="s">
        <v>11</v>
      </c>
      <c r="G425" s="9">
        <f>B425*D425</f>
        <v>18003</v>
      </c>
      <c r="H425" s="29" t="s">
        <v>11</v>
      </c>
    </row>
    <row r="426" spans="1:8">
      <c r="A426" s="76" t="s">
        <v>70</v>
      </c>
      <c r="B426" s="85">
        <f>ROUND((SUM(E426:H426)),0)</f>
        <v>41463</v>
      </c>
      <c r="C426" s="78" t="s">
        <v>73</v>
      </c>
      <c r="D426" s="86"/>
      <c r="E426" s="80">
        <f>SUM(E419:E425)</f>
        <v>0</v>
      </c>
      <c r="F426" s="80">
        <f>SUM(F419:F425)</f>
        <v>23460</v>
      </c>
      <c r="G426" s="80">
        <f>SUM(G419:G425)</f>
        <v>18003</v>
      </c>
      <c r="H426" s="80">
        <f>SUM(H419:H425)</f>
        <v>0</v>
      </c>
    </row>
    <row r="428" spans="1:8">
      <c r="A428" s="63" t="s">
        <v>242</v>
      </c>
    </row>
    <row r="429" spans="1:8">
      <c r="A429" s="63"/>
      <c r="E429" s="68" t="s">
        <v>61</v>
      </c>
      <c r="F429" s="68" t="s">
        <v>62</v>
      </c>
      <c r="G429" s="68" t="s">
        <v>63</v>
      </c>
      <c r="H429" s="68" t="s">
        <v>64</v>
      </c>
    </row>
    <row r="430" spans="1:8">
      <c r="A430" s="29" t="s">
        <v>232</v>
      </c>
      <c r="B430" s="82">
        <v>1</v>
      </c>
      <c r="C430" s="30" t="s">
        <v>49</v>
      </c>
      <c r="D430" s="9">
        <v>1200</v>
      </c>
      <c r="E430" s="29" t="s">
        <v>11</v>
      </c>
      <c r="F430" s="83">
        <f t="shared" ref="F430:F435" si="9">B430*D430</f>
        <v>1200</v>
      </c>
      <c r="G430" s="9" t="s">
        <v>11</v>
      </c>
      <c r="H430" s="29" t="s">
        <v>11</v>
      </c>
    </row>
    <row r="431" spans="1:8">
      <c r="A431" s="29" t="s">
        <v>201</v>
      </c>
      <c r="B431" s="82">
        <v>12</v>
      </c>
      <c r="C431" s="30" t="s">
        <v>66</v>
      </c>
      <c r="D431" s="9">
        <v>790</v>
      </c>
      <c r="E431" s="29" t="s">
        <v>11</v>
      </c>
      <c r="F431" s="83">
        <f t="shared" si="9"/>
        <v>9480</v>
      </c>
      <c r="G431" s="9" t="s">
        <v>11</v>
      </c>
      <c r="H431" s="29" t="s">
        <v>11</v>
      </c>
    </row>
    <row r="432" spans="1:8">
      <c r="A432" s="29" t="s">
        <v>197</v>
      </c>
      <c r="B432" s="82">
        <v>4</v>
      </c>
      <c r="C432" s="30" t="s">
        <v>66</v>
      </c>
      <c r="D432" s="29">
        <v>700</v>
      </c>
      <c r="E432" s="29" t="s">
        <v>11</v>
      </c>
      <c r="F432" s="83">
        <f t="shared" si="9"/>
        <v>2800</v>
      </c>
      <c r="G432" s="9" t="s">
        <v>11</v>
      </c>
      <c r="H432" s="29" t="s">
        <v>11</v>
      </c>
    </row>
    <row r="433" spans="1:8">
      <c r="A433" s="29" t="s">
        <v>225</v>
      </c>
      <c r="B433" s="82">
        <v>2</v>
      </c>
      <c r="C433" s="30" t="s">
        <v>49</v>
      </c>
      <c r="D433" s="29">
        <v>190</v>
      </c>
      <c r="E433" s="29" t="s">
        <v>11</v>
      </c>
      <c r="F433" s="83">
        <f t="shared" si="9"/>
        <v>380</v>
      </c>
      <c r="G433" s="9" t="s">
        <v>11</v>
      </c>
      <c r="H433" s="29" t="s">
        <v>11</v>
      </c>
    </row>
    <row r="434" spans="1:8">
      <c r="A434" s="29" t="s">
        <v>226</v>
      </c>
      <c r="B434" s="82">
        <v>6</v>
      </c>
      <c r="C434" s="30" t="s">
        <v>49</v>
      </c>
      <c r="D434" s="29">
        <v>850</v>
      </c>
      <c r="E434" s="29" t="s">
        <v>11</v>
      </c>
      <c r="F434" s="83">
        <f t="shared" si="9"/>
        <v>5100</v>
      </c>
      <c r="G434" s="9" t="s">
        <v>11</v>
      </c>
      <c r="H434" s="29" t="s">
        <v>11</v>
      </c>
    </row>
    <row r="435" spans="1:8">
      <c r="A435" s="29" t="s">
        <v>243</v>
      </c>
      <c r="B435" s="82">
        <v>1</v>
      </c>
      <c r="C435" s="30" t="s">
        <v>49</v>
      </c>
      <c r="D435" s="9">
        <v>25000</v>
      </c>
      <c r="E435" s="29" t="s">
        <v>11</v>
      </c>
      <c r="F435" s="83">
        <f t="shared" si="9"/>
        <v>25000</v>
      </c>
      <c r="G435" s="9" t="s">
        <v>11</v>
      </c>
      <c r="H435" s="29" t="s">
        <v>11</v>
      </c>
    </row>
    <row r="436" spans="1:8">
      <c r="A436" s="29" t="s">
        <v>68</v>
      </c>
      <c r="B436" s="87">
        <v>0.10589999999999999</v>
      </c>
      <c r="C436" s="30" t="s">
        <v>69</v>
      </c>
      <c r="D436" s="9">
        <v>170000</v>
      </c>
      <c r="E436" s="29" t="s">
        <v>11</v>
      </c>
      <c r="F436" s="29" t="s">
        <v>11</v>
      </c>
      <c r="G436" s="9">
        <f>B436*D436</f>
        <v>18003</v>
      </c>
      <c r="H436" s="29" t="s">
        <v>11</v>
      </c>
    </row>
    <row r="437" spans="1:8">
      <c r="A437" s="76" t="s">
        <v>70</v>
      </c>
      <c r="B437" s="85">
        <f>ROUND((SUM(E437:H437)),0)</f>
        <v>61963</v>
      </c>
      <c r="C437" s="78" t="s">
        <v>73</v>
      </c>
      <c r="D437" s="86"/>
      <c r="E437" s="80">
        <f>SUM(E430:E436)</f>
        <v>0</v>
      </c>
      <c r="F437" s="80">
        <f>SUM(F430:F436)</f>
        <v>43960</v>
      </c>
      <c r="G437" s="80">
        <f>SUM(G430:G436)</f>
        <v>18003</v>
      </c>
      <c r="H437" s="80">
        <f>SUM(H430:H436)</f>
        <v>0</v>
      </c>
    </row>
    <row r="439" spans="1:8">
      <c r="A439" s="63" t="s">
        <v>244</v>
      </c>
    </row>
    <row r="440" spans="1:8">
      <c r="A440" s="63"/>
      <c r="E440" s="68" t="s">
        <v>61</v>
      </c>
      <c r="F440" s="68" t="s">
        <v>62</v>
      </c>
      <c r="G440" s="68" t="s">
        <v>63</v>
      </c>
      <c r="H440" s="68" t="s">
        <v>64</v>
      </c>
    </row>
    <row r="441" spans="1:8">
      <c r="A441" s="29" t="s">
        <v>232</v>
      </c>
      <c r="B441" s="82">
        <v>1</v>
      </c>
      <c r="C441" s="30" t="s">
        <v>49</v>
      </c>
      <c r="D441" s="9">
        <v>1200</v>
      </c>
      <c r="E441" s="29" t="s">
        <v>11</v>
      </c>
      <c r="F441" s="83">
        <f t="shared" ref="F441:F446" si="10">B441*D441</f>
        <v>1200</v>
      </c>
      <c r="G441" s="9" t="s">
        <v>11</v>
      </c>
      <c r="H441" s="29" t="s">
        <v>11</v>
      </c>
    </row>
    <row r="442" spans="1:8">
      <c r="A442" s="29" t="s">
        <v>201</v>
      </c>
      <c r="B442" s="82">
        <v>12</v>
      </c>
      <c r="C442" s="30" t="s">
        <v>66</v>
      </c>
      <c r="D442" s="9">
        <v>790</v>
      </c>
      <c r="E442" s="29" t="s">
        <v>11</v>
      </c>
      <c r="F442" s="83">
        <f t="shared" si="10"/>
        <v>9480</v>
      </c>
      <c r="G442" s="9" t="s">
        <v>11</v>
      </c>
      <c r="H442" s="29" t="s">
        <v>11</v>
      </c>
    </row>
    <row r="443" spans="1:8">
      <c r="A443" s="29" t="s">
        <v>197</v>
      </c>
      <c r="B443" s="82">
        <v>4</v>
      </c>
      <c r="C443" s="30" t="s">
        <v>66</v>
      </c>
      <c r="D443" s="29">
        <v>700</v>
      </c>
      <c r="E443" s="29" t="s">
        <v>11</v>
      </c>
      <c r="F443" s="83">
        <f t="shared" si="10"/>
        <v>2800</v>
      </c>
      <c r="G443" s="9" t="s">
        <v>11</v>
      </c>
      <c r="H443" s="29" t="s">
        <v>11</v>
      </c>
    </row>
    <row r="444" spans="1:8">
      <c r="A444" s="29" t="s">
        <v>225</v>
      </c>
      <c r="B444" s="82">
        <v>2</v>
      </c>
      <c r="C444" s="30" t="s">
        <v>49</v>
      </c>
      <c r="D444" s="29">
        <v>190</v>
      </c>
      <c r="E444" s="29" t="s">
        <v>11</v>
      </c>
      <c r="F444" s="83">
        <f t="shared" si="10"/>
        <v>380</v>
      </c>
      <c r="G444" s="9" t="s">
        <v>11</v>
      </c>
      <c r="H444" s="29" t="s">
        <v>11</v>
      </c>
    </row>
    <row r="445" spans="1:8">
      <c r="A445" s="29" t="s">
        <v>226</v>
      </c>
      <c r="B445" s="82">
        <v>6</v>
      </c>
      <c r="C445" s="30" t="s">
        <v>49</v>
      </c>
      <c r="D445" s="29">
        <v>850</v>
      </c>
      <c r="E445" s="29" t="s">
        <v>11</v>
      </c>
      <c r="F445" s="83">
        <f t="shared" si="10"/>
        <v>5100</v>
      </c>
      <c r="G445" s="9" t="s">
        <v>11</v>
      </c>
      <c r="H445" s="29" t="s">
        <v>11</v>
      </c>
    </row>
    <row r="446" spans="1:8">
      <c r="A446" s="29" t="s">
        <v>245</v>
      </c>
      <c r="B446" s="82">
        <v>1</v>
      </c>
      <c r="C446" s="30" t="s">
        <v>49</v>
      </c>
      <c r="D446" s="9">
        <v>197000</v>
      </c>
      <c r="E446" s="29" t="s">
        <v>11</v>
      </c>
      <c r="F446" s="83">
        <f t="shared" si="10"/>
        <v>197000</v>
      </c>
      <c r="G446" s="9" t="s">
        <v>11</v>
      </c>
      <c r="H446" s="29" t="s">
        <v>11</v>
      </c>
    </row>
    <row r="447" spans="1:8">
      <c r="A447" s="29" t="s">
        <v>68</v>
      </c>
      <c r="B447" s="87">
        <v>0.14710000000000001</v>
      </c>
      <c r="C447" s="30" t="s">
        <v>69</v>
      </c>
      <c r="D447" s="9">
        <v>170000</v>
      </c>
      <c r="E447" s="29" t="s">
        <v>11</v>
      </c>
      <c r="F447" s="29" t="s">
        <v>11</v>
      </c>
      <c r="G447" s="9">
        <f>B447*D447</f>
        <v>25007</v>
      </c>
      <c r="H447" s="29" t="s">
        <v>11</v>
      </c>
    </row>
    <row r="448" spans="1:8">
      <c r="A448" s="76" t="s">
        <v>70</v>
      </c>
      <c r="B448" s="85">
        <f>ROUND((SUM(E448:H448)),0)</f>
        <v>240967</v>
      </c>
      <c r="C448" s="78" t="s">
        <v>73</v>
      </c>
      <c r="D448" s="86"/>
      <c r="E448" s="80">
        <f>SUM(E441:E447)</f>
        <v>0</v>
      </c>
      <c r="F448" s="80">
        <f>SUM(F441:F447)</f>
        <v>215960</v>
      </c>
      <c r="G448" s="80">
        <f>SUM(G441:G447)</f>
        <v>25007</v>
      </c>
      <c r="H448" s="80">
        <f>SUM(H441:H447)</f>
        <v>0</v>
      </c>
    </row>
    <row r="450" spans="1:8">
      <c r="A450" s="63" t="s">
        <v>246</v>
      </c>
    </row>
    <row r="451" spans="1:8">
      <c r="A451" s="63"/>
      <c r="E451" s="68" t="s">
        <v>61</v>
      </c>
      <c r="F451" s="68" t="s">
        <v>62</v>
      </c>
      <c r="G451" s="68" t="s">
        <v>63</v>
      </c>
      <c r="H451" s="68" t="s">
        <v>64</v>
      </c>
    </row>
    <row r="452" spans="1:8">
      <c r="A452" s="29" t="s">
        <v>232</v>
      </c>
      <c r="B452" s="82">
        <v>1</v>
      </c>
      <c r="C452" s="30" t="s">
        <v>49</v>
      </c>
      <c r="D452" s="9">
        <v>1200</v>
      </c>
      <c r="E452" s="29" t="s">
        <v>11</v>
      </c>
      <c r="F452" s="83">
        <f t="shared" ref="F452:F457" si="11">B452*D452</f>
        <v>1200</v>
      </c>
      <c r="G452" s="9" t="s">
        <v>11</v>
      </c>
      <c r="H452" s="29" t="s">
        <v>11</v>
      </c>
    </row>
    <row r="453" spans="1:8">
      <c r="A453" s="29" t="s">
        <v>247</v>
      </c>
      <c r="B453" s="82">
        <v>15</v>
      </c>
      <c r="C453" s="30" t="s">
        <v>66</v>
      </c>
      <c r="D453" s="9">
        <v>838</v>
      </c>
      <c r="E453" s="29" t="s">
        <v>11</v>
      </c>
      <c r="F453" s="83">
        <f t="shared" si="11"/>
        <v>12570</v>
      </c>
      <c r="G453" s="9" t="s">
        <v>11</v>
      </c>
      <c r="H453" s="29" t="s">
        <v>11</v>
      </c>
    </row>
    <row r="454" spans="1:8">
      <c r="A454" s="29" t="s">
        <v>197</v>
      </c>
      <c r="B454" s="82">
        <v>5</v>
      </c>
      <c r="C454" s="30" t="s">
        <v>66</v>
      </c>
      <c r="D454" s="29">
        <v>700</v>
      </c>
      <c r="E454" s="29" t="s">
        <v>11</v>
      </c>
      <c r="F454" s="83">
        <f t="shared" si="11"/>
        <v>3500</v>
      </c>
      <c r="G454" s="9" t="s">
        <v>11</v>
      </c>
      <c r="H454" s="29" t="s">
        <v>11</v>
      </c>
    </row>
    <row r="455" spans="1:8">
      <c r="A455" s="29" t="s">
        <v>225</v>
      </c>
      <c r="B455" s="82">
        <v>2</v>
      </c>
      <c r="C455" s="30" t="s">
        <v>49</v>
      </c>
      <c r="D455" s="29">
        <v>190</v>
      </c>
      <c r="E455" s="29" t="s">
        <v>11</v>
      </c>
      <c r="F455" s="83">
        <f t="shared" si="11"/>
        <v>380</v>
      </c>
      <c r="G455" s="9" t="s">
        <v>11</v>
      </c>
      <c r="H455" s="29" t="s">
        <v>11</v>
      </c>
    </row>
    <row r="456" spans="1:8">
      <c r="A456" s="29" t="s">
        <v>248</v>
      </c>
      <c r="B456" s="82">
        <v>1</v>
      </c>
      <c r="C456" s="30" t="s">
        <v>49</v>
      </c>
      <c r="D456" s="9">
        <v>4800</v>
      </c>
      <c r="E456" s="29" t="s">
        <v>11</v>
      </c>
      <c r="F456" s="83">
        <f t="shared" si="11"/>
        <v>4800</v>
      </c>
      <c r="G456" s="9" t="s">
        <v>11</v>
      </c>
      <c r="H456" s="29" t="s">
        <v>11</v>
      </c>
    </row>
    <row r="457" spans="1:8">
      <c r="A457" s="29" t="s">
        <v>226</v>
      </c>
      <c r="B457" s="82">
        <v>6</v>
      </c>
      <c r="C457" s="30" t="s">
        <v>49</v>
      </c>
      <c r="D457" s="29">
        <v>850</v>
      </c>
      <c r="E457" s="29" t="s">
        <v>11</v>
      </c>
      <c r="F457" s="83">
        <f t="shared" si="11"/>
        <v>5100</v>
      </c>
      <c r="G457" s="9" t="s">
        <v>11</v>
      </c>
      <c r="H457" s="29" t="s">
        <v>11</v>
      </c>
    </row>
    <row r="458" spans="1:8">
      <c r="A458" s="29" t="s">
        <v>68</v>
      </c>
      <c r="B458" s="87">
        <v>0.10589999999999999</v>
      </c>
      <c r="C458" s="30" t="s">
        <v>69</v>
      </c>
      <c r="D458" s="9">
        <v>170000</v>
      </c>
      <c r="E458" s="29" t="s">
        <v>11</v>
      </c>
      <c r="F458" s="29" t="s">
        <v>11</v>
      </c>
      <c r="G458" s="9">
        <f>B458*D458</f>
        <v>18003</v>
      </c>
      <c r="H458" s="29" t="s">
        <v>11</v>
      </c>
    </row>
    <row r="459" spans="1:8">
      <c r="A459" s="76" t="s">
        <v>70</v>
      </c>
      <c r="B459" s="85">
        <f>ROUND((SUM(E459:H459)),0)</f>
        <v>45553</v>
      </c>
      <c r="C459" s="78" t="s">
        <v>73</v>
      </c>
      <c r="D459" s="86"/>
      <c r="E459" s="80">
        <f>SUM(E452:E458)</f>
        <v>0</v>
      </c>
      <c r="F459" s="80">
        <f>SUM(F452:F458)</f>
        <v>27550</v>
      </c>
      <c r="G459" s="80">
        <f>SUM(G452:G458)</f>
        <v>18003</v>
      </c>
      <c r="H459" s="80">
        <f>SUM(H452:H458)</f>
        <v>0</v>
      </c>
    </row>
    <row r="461" spans="1:8">
      <c r="A461" s="63" t="s">
        <v>249</v>
      </c>
    </row>
    <row r="462" spans="1:8">
      <c r="A462" s="63"/>
      <c r="E462" s="68" t="s">
        <v>61</v>
      </c>
      <c r="F462" s="68" t="s">
        <v>62</v>
      </c>
      <c r="G462" s="68" t="s">
        <v>63</v>
      </c>
      <c r="H462" s="68" t="s">
        <v>64</v>
      </c>
    </row>
    <row r="463" spans="1:8">
      <c r="A463" s="29" t="s">
        <v>232</v>
      </c>
      <c r="B463" s="82">
        <v>1</v>
      </c>
      <c r="C463" s="30" t="s">
        <v>49</v>
      </c>
      <c r="D463" s="9">
        <v>1200</v>
      </c>
      <c r="E463" s="29" t="s">
        <v>11</v>
      </c>
      <c r="F463" s="83">
        <f t="shared" ref="F463:F468" si="12">B463*D463</f>
        <v>1200</v>
      </c>
      <c r="G463" s="9" t="s">
        <v>11</v>
      </c>
      <c r="H463" s="29" t="s">
        <v>11</v>
      </c>
    </row>
    <row r="464" spans="1:8">
      <c r="A464" s="29" t="s">
        <v>247</v>
      </c>
      <c r="B464" s="82">
        <v>15</v>
      </c>
      <c r="C464" s="30" t="s">
        <v>66</v>
      </c>
      <c r="D464" s="9">
        <v>838</v>
      </c>
      <c r="E464" s="29" t="s">
        <v>11</v>
      </c>
      <c r="F464" s="83">
        <f t="shared" si="12"/>
        <v>12570</v>
      </c>
      <c r="G464" s="9" t="s">
        <v>11</v>
      </c>
      <c r="H464" s="29" t="s">
        <v>11</v>
      </c>
    </row>
    <row r="465" spans="1:8">
      <c r="A465" s="29" t="s">
        <v>197</v>
      </c>
      <c r="B465" s="82">
        <v>5</v>
      </c>
      <c r="C465" s="30" t="s">
        <v>66</v>
      </c>
      <c r="D465" s="29">
        <v>700</v>
      </c>
      <c r="E465" s="29" t="s">
        <v>11</v>
      </c>
      <c r="F465" s="83">
        <f t="shared" si="12"/>
        <v>3500</v>
      </c>
      <c r="G465" s="9" t="s">
        <v>11</v>
      </c>
      <c r="H465" s="29" t="s">
        <v>11</v>
      </c>
    </row>
    <row r="466" spans="1:8">
      <c r="A466" s="29" t="s">
        <v>225</v>
      </c>
      <c r="B466" s="82">
        <v>2</v>
      </c>
      <c r="C466" s="30" t="s">
        <v>49</v>
      </c>
      <c r="D466" s="29">
        <v>190</v>
      </c>
      <c r="E466" s="29" t="s">
        <v>11</v>
      </c>
      <c r="F466" s="83">
        <f t="shared" si="12"/>
        <v>380</v>
      </c>
      <c r="G466" s="9" t="s">
        <v>11</v>
      </c>
      <c r="H466" s="29" t="s">
        <v>11</v>
      </c>
    </row>
    <row r="467" spans="1:8">
      <c r="A467" s="29" t="s">
        <v>250</v>
      </c>
      <c r="B467" s="82">
        <v>1</v>
      </c>
      <c r="C467" s="30" t="s">
        <v>49</v>
      </c>
      <c r="D467" s="9">
        <v>30000</v>
      </c>
      <c r="E467" s="29" t="s">
        <v>11</v>
      </c>
      <c r="F467" s="83">
        <f t="shared" si="12"/>
        <v>30000</v>
      </c>
      <c r="G467" s="9" t="s">
        <v>11</v>
      </c>
      <c r="H467" s="29" t="s">
        <v>11</v>
      </c>
    </row>
    <row r="468" spans="1:8">
      <c r="A468" s="29" t="s">
        <v>226</v>
      </c>
      <c r="B468" s="82">
        <v>6</v>
      </c>
      <c r="C468" s="30" t="s">
        <v>49</v>
      </c>
      <c r="D468" s="29">
        <v>850</v>
      </c>
      <c r="E468" s="29" t="s">
        <v>11</v>
      </c>
      <c r="F468" s="83">
        <f t="shared" si="12"/>
        <v>5100</v>
      </c>
      <c r="G468" s="9" t="s">
        <v>11</v>
      </c>
      <c r="H468" s="29" t="s">
        <v>11</v>
      </c>
    </row>
    <row r="469" spans="1:8">
      <c r="A469" s="29" t="s">
        <v>68</v>
      </c>
      <c r="B469" s="87">
        <v>0.10589999999999999</v>
      </c>
      <c r="C469" s="30" t="s">
        <v>69</v>
      </c>
      <c r="D469" s="9">
        <v>170000</v>
      </c>
      <c r="E469" s="29" t="s">
        <v>11</v>
      </c>
      <c r="F469" s="29" t="s">
        <v>11</v>
      </c>
      <c r="G469" s="9">
        <f>B469*D469</f>
        <v>18003</v>
      </c>
      <c r="H469" s="29" t="s">
        <v>11</v>
      </c>
    </row>
    <row r="470" spans="1:8">
      <c r="A470" s="76" t="s">
        <v>70</v>
      </c>
      <c r="B470" s="85">
        <f>ROUND((SUM(E470:H470)),0)</f>
        <v>70753</v>
      </c>
      <c r="C470" s="78" t="s">
        <v>73</v>
      </c>
      <c r="D470" s="86"/>
      <c r="E470" s="80">
        <f>SUM(E463:E469)</f>
        <v>0</v>
      </c>
      <c r="F470" s="80">
        <f>SUM(F463:F469)</f>
        <v>52750</v>
      </c>
      <c r="G470" s="80">
        <f>SUM(G463:G469)</f>
        <v>18003</v>
      </c>
      <c r="H470" s="80">
        <f>SUM(H463:H469)</f>
        <v>0</v>
      </c>
    </row>
    <row r="472" spans="1:8">
      <c r="A472" s="63" t="s">
        <v>251</v>
      </c>
    </row>
    <row r="473" spans="1:8">
      <c r="A473" s="63"/>
      <c r="E473" s="68" t="s">
        <v>61</v>
      </c>
      <c r="F473" s="68" t="s">
        <v>62</v>
      </c>
      <c r="G473" s="68" t="s">
        <v>63</v>
      </c>
      <c r="H473" s="68" t="s">
        <v>64</v>
      </c>
    </row>
    <row r="474" spans="1:8">
      <c r="A474" s="29" t="s">
        <v>232</v>
      </c>
      <c r="B474" s="82">
        <v>1</v>
      </c>
      <c r="C474" s="30" t="s">
        <v>49</v>
      </c>
      <c r="D474" s="9">
        <v>1200</v>
      </c>
      <c r="E474" s="29" t="s">
        <v>11</v>
      </c>
      <c r="F474" s="83">
        <f t="shared" ref="F474:F480" si="13">B474*D474</f>
        <v>1200</v>
      </c>
      <c r="G474" s="9" t="s">
        <v>11</v>
      </c>
      <c r="H474" s="29" t="s">
        <v>11</v>
      </c>
    </row>
    <row r="475" spans="1:8">
      <c r="A475" s="29" t="s">
        <v>247</v>
      </c>
      <c r="B475" s="82">
        <v>18</v>
      </c>
      <c r="C475" s="30" t="s">
        <v>66</v>
      </c>
      <c r="D475" s="9">
        <v>838</v>
      </c>
      <c r="E475" s="29" t="s">
        <v>11</v>
      </c>
      <c r="F475" s="83">
        <f t="shared" si="13"/>
        <v>15084</v>
      </c>
      <c r="G475" s="9" t="s">
        <v>11</v>
      </c>
      <c r="H475" s="29" t="s">
        <v>11</v>
      </c>
    </row>
    <row r="476" spans="1:8">
      <c r="A476" s="29" t="s">
        <v>228</v>
      </c>
      <c r="B476" s="82">
        <v>6</v>
      </c>
      <c r="C476" s="30" t="s">
        <v>66</v>
      </c>
      <c r="D476" s="29">
        <v>1900</v>
      </c>
      <c r="E476" s="29" t="s">
        <v>11</v>
      </c>
      <c r="F476" s="83">
        <f>B476*D476</f>
        <v>11400</v>
      </c>
      <c r="G476" s="9" t="s">
        <v>11</v>
      </c>
      <c r="H476" s="29" t="s">
        <v>11</v>
      </c>
    </row>
    <row r="477" spans="1:8">
      <c r="A477" s="29" t="s">
        <v>229</v>
      </c>
      <c r="B477" s="82">
        <v>1</v>
      </c>
      <c r="C477" s="30" t="s">
        <v>8</v>
      </c>
      <c r="D477" s="29">
        <v>400</v>
      </c>
      <c r="E477" s="29"/>
      <c r="F477" s="83">
        <f>B477*D477</f>
        <v>400</v>
      </c>
      <c r="G477" s="9"/>
      <c r="H477" s="29"/>
    </row>
    <row r="478" spans="1:8">
      <c r="A478" s="29" t="s">
        <v>230</v>
      </c>
      <c r="B478" s="82">
        <v>2</v>
      </c>
      <c r="C478" s="30" t="s">
        <v>49</v>
      </c>
      <c r="D478" s="29">
        <v>400</v>
      </c>
      <c r="E478" s="29" t="s">
        <v>11</v>
      </c>
      <c r="F478" s="83">
        <f>B478*D478</f>
        <v>800</v>
      </c>
      <c r="G478" s="9" t="s">
        <v>11</v>
      </c>
      <c r="H478" s="29" t="s">
        <v>11</v>
      </c>
    </row>
    <row r="479" spans="1:8">
      <c r="A479" s="29" t="s">
        <v>250</v>
      </c>
      <c r="B479" s="82">
        <v>1</v>
      </c>
      <c r="C479" s="30" t="s">
        <v>49</v>
      </c>
      <c r="D479" s="9">
        <v>30000</v>
      </c>
      <c r="E479" s="29" t="s">
        <v>11</v>
      </c>
      <c r="F479" s="83">
        <f t="shared" si="13"/>
        <v>30000</v>
      </c>
      <c r="G479" s="9" t="s">
        <v>11</v>
      </c>
      <c r="H479" s="29" t="s">
        <v>11</v>
      </c>
    </row>
    <row r="480" spans="1:8">
      <c r="A480" s="29" t="s">
        <v>226</v>
      </c>
      <c r="B480" s="82">
        <v>6</v>
      </c>
      <c r="C480" s="30" t="s">
        <v>49</v>
      </c>
      <c r="D480" s="29">
        <v>850</v>
      </c>
      <c r="E480" s="29" t="s">
        <v>11</v>
      </c>
      <c r="F480" s="83">
        <f t="shared" si="13"/>
        <v>5100</v>
      </c>
      <c r="G480" s="9" t="s">
        <v>11</v>
      </c>
      <c r="H480" s="29" t="s">
        <v>11</v>
      </c>
    </row>
    <row r="481" spans="1:8">
      <c r="A481" s="29" t="s">
        <v>68</v>
      </c>
      <c r="B481" s="87">
        <v>0.1176</v>
      </c>
      <c r="C481" s="30" t="s">
        <v>69</v>
      </c>
      <c r="D481" s="9">
        <v>170000</v>
      </c>
      <c r="E481" s="29" t="s">
        <v>11</v>
      </c>
      <c r="F481" s="29" t="s">
        <v>11</v>
      </c>
      <c r="G481" s="9">
        <f>B481*D481</f>
        <v>19992</v>
      </c>
      <c r="H481" s="29" t="s">
        <v>11</v>
      </c>
    </row>
    <row r="482" spans="1:8">
      <c r="A482" s="76" t="s">
        <v>70</v>
      </c>
      <c r="B482" s="85">
        <f>ROUND((SUM(E482:H482)),0)</f>
        <v>83976</v>
      </c>
      <c r="C482" s="78" t="s">
        <v>73</v>
      </c>
      <c r="D482" s="86"/>
      <c r="E482" s="80">
        <f>SUM(E474:E481)</f>
        <v>0</v>
      </c>
      <c r="F482" s="80">
        <f>SUM(F474:F481)</f>
        <v>63984</v>
      </c>
      <c r="G482" s="80">
        <f>SUM(G474:G481)</f>
        <v>19992</v>
      </c>
      <c r="H482" s="80">
        <f>SUM(H474:H481)</f>
        <v>0</v>
      </c>
    </row>
    <row r="484" spans="1:8">
      <c r="A484" s="63" t="s">
        <v>252</v>
      </c>
    </row>
    <row r="485" spans="1:8">
      <c r="A485" s="63"/>
      <c r="E485" s="68" t="s">
        <v>61</v>
      </c>
      <c r="F485" s="68" t="s">
        <v>62</v>
      </c>
      <c r="G485" s="68" t="s">
        <v>63</v>
      </c>
      <c r="H485" s="68" t="s">
        <v>64</v>
      </c>
    </row>
    <row r="486" spans="1:8">
      <c r="A486" s="29" t="s">
        <v>253</v>
      </c>
      <c r="B486" s="82">
        <v>1</v>
      </c>
      <c r="C486" s="30" t="s">
        <v>49</v>
      </c>
      <c r="D486" s="9">
        <v>1500</v>
      </c>
      <c r="E486" s="29" t="s">
        <v>11</v>
      </c>
      <c r="F486" s="83">
        <f>B486*D486</f>
        <v>1500</v>
      </c>
      <c r="G486" s="9" t="s">
        <v>11</v>
      </c>
      <c r="H486" s="29" t="s">
        <v>11</v>
      </c>
    </row>
    <row r="487" spans="1:8">
      <c r="A487" s="29" t="s">
        <v>194</v>
      </c>
      <c r="B487" s="82">
        <v>6</v>
      </c>
      <c r="C487" s="30" t="s">
        <v>66</v>
      </c>
      <c r="D487" s="29">
        <v>800</v>
      </c>
      <c r="E487" s="29" t="s">
        <v>11</v>
      </c>
      <c r="F487" s="83">
        <f>B487*D487</f>
        <v>4800</v>
      </c>
      <c r="G487" s="9" t="s">
        <v>11</v>
      </c>
      <c r="H487" s="29" t="s">
        <v>11</v>
      </c>
    </row>
    <row r="488" spans="1:8">
      <c r="A488" s="29" t="s">
        <v>254</v>
      </c>
      <c r="B488" s="82">
        <v>2</v>
      </c>
      <c r="C488" s="30" t="s">
        <v>49</v>
      </c>
      <c r="D488" s="29">
        <v>190</v>
      </c>
      <c r="E488" s="29" t="s">
        <v>11</v>
      </c>
      <c r="F488" s="83">
        <f>B488*D488</f>
        <v>380</v>
      </c>
      <c r="G488" s="9" t="s">
        <v>11</v>
      </c>
      <c r="H488" s="29" t="s">
        <v>11</v>
      </c>
    </row>
    <row r="489" spans="1:8">
      <c r="A489" s="29" t="s">
        <v>255</v>
      </c>
      <c r="B489" s="82">
        <v>1</v>
      </c>
      <c r="C489" s="30" t="s">
        <v>49</v>
      </c>
      <c r="D489" s="9">
        <v>4500</v>
      </c>
      <c r="E489" s="29" t="s">
        <v>11</v>
      </c>
      <c r="F489" s="83">
        <f>B489*D489</f>
        <v>4500</v>
      </c>
      <c r="G489" s="9" t="s">
        <v>11</v>
      </c>
      <c r="H489" s="29" t="s">
        <v>11</v>
      </c>
    </row>
    <row r="490" spans="1:8">
      <c r="A490" s="29" t="s">
        <v>68</v>
      </c>
      <c r="B490" s="91">
        <v>7.0599999999999996E-2</v>
      </c>
      <c r="C490" s="30" t="s">
        <v>69</v>
      </c>
      <c r="D490" s="9">
        <v>170000</v>
      </c>
      <c r="E490" s="29" t="s">
        <v>11</v>
      </c>
      <c r="F490" s="29" t="s">
        <v>11</v>
      </c>
      <c r="G490" s="9">
        <f>B490*D490</f>
        <v>12002</v>
      </c>
      <c r="H490" s="29" t="s">
        <v>11</v>
      </c>
    </row>
    <row r="491" spans="1:8">
      <c r="A491" s="76" t="s">
        <v>70</v>
      </c>
      <c r="B491" s="85">
        <f>ROUND((SUM(E491:H491)),0)</f>
        <v>23182</v>
      </c>
      <c r="C491" s="78" t="s">
        <v>73</v>
      </c>
      <c r="D491" s="86"/>
      <c r="E491" s="80">
        <f>SUM(E486:E490)</f>
        <v>0</v>
      </c>
      <c r="F491" s="80">
        <f>SUM(F486:F490)</f>
        <v>11180</v>
      </c>
      <c r="G491" s="80">
        <f>SUM(G486:G490)</f>
        <v>12002</v>
      </c>
      <c r="H491" s="80">
        <f>SUM(H486:H490)</f>
        <v>0</v>
      </c>
    </row>
    <row r="493" spans="1:8">
      <c r="A493" s="63" t="s">
        <v>256</v>
      </c>
    </row>
    <row r="494" spans="1:8">
      <c r="A494" s="63"/>
      <c r="E494" s="68" t="s">
        <v>61</v>
      </c>
      <c r="F494" s="68" t="s">
        <v>62</v>
      </c>
      <c r="G494" s="68" t="s">
        <v>63</v>
      </c>
      <c r="H494" s="68" t="s">
        <v>64</v>
      </c>
    </row>
    <row r="495" spans="1:8">
      <c r="A495" s="29" t="s">
        <v>253</v>
      </c>
      <c r="B495" s="82">
        <v>1</v>
      </c>
      <c r="C495" s="30" t="s">
        <v>49</v>
      </c>
      <c r="D495" s="9">
        <v>1500</v>
      </c>
      <c r="E495" s="29" t="s">
        <v>11</v>
      </c>
      <c r="F495" s="83">
        <f>B495*D495</f>
        <v>1500</v>
      </c>
      <c r="G495" s="9" t="s">
        <v>11</v>
      </c>
      <c r="H495" s="29" t="s">
        <v>11</v>
      </c>
    </row>
    <row r="496" spans="1:8">
      <c r="A496" s="29" t="s">
        <v>194</v>
      </c>
      <c r="B496" s="82">
        <v>6</v>
      </c>
      <c r="C496" s="30" t="s">
        <v>66</v>
      </c>
      <c r="D496" s="29">
        <v>800</v>
      </c>
      <c r="E496" s="29" t="s">
        <v>11</v>
      </c>
      <c r="F496" s="83">
        <f>B496*D496</f>
        <v>4800</v>
      </c>
      <c r="G496" s="9" t="s">
        <v>11</v>
      </c>
      <c r="H496" s="29" t="s">
        <v>11</v>
      </c>
    </row>
    <row r="497" spans="1:8">
      <c r="A497" s="29" t="s">
        <v>254</v>
      </c>
      <c r="B497" s="82">
        <v>2</v>
      </c>
      <c r="C497" s="30" t="s">
        <v>49</v>
      </c>
      <c r="D497" s="29">
        <v>190</v>
      </c>
      <c r="E497" s="29" t="s">
        <v>11</v>
      </c>
      <c r="F497" s="83">
        <f>B497*D497</f>
        <v>380</v>
      </c>
      <c r="G497" s="9" t="s">
        <v>11</v>
      </c>
      <c r="H497" s="29" t="s">
        <v>11</v>
      </c>
    </row>
    <row r="498" spans="1:8">
      <c r="A498" s="29" t="s">
        <v>257</v>
      </c>
      <c r="B498" s="82">
        <v>1</v>
      </c>
      <c r="C498" s="30" t="s">
        <v>49</v>
      </c>
      <c r="D498" s="9">
        <v>3500</v>
      </c>
      <c r="E498" s="29" t="s">
        <v>11</v>
      </c>
      <c r="F498" s="83">
        <f>B498*D498</f>
        <v>3500</v>
      </c>
      <c r="G498" s="9" t="s">
        <v>11</v>
      </c>
      <c r="H498" s="29" t="s">
        <v>11</v>
      </c>
    </row>
    <row r="499" spans="1:8">
      <c r="A499" s="29" t="s">
        <v>68</v>
      </c>
      <c r="B499" s="91">
        <v>7.0599999999999996E-2</v>
      </c>
      <c r="C499" s="30" t="s">
        <v>69</v>
      </c>
      <c r="D499" s="9">
        <v>170000</v>
      </c>
      <c r="E499" s="29" t="s">
        <v>11</v>
      </c>
      <c r="F499" s="29" t="s">
        <v>11</v>
      </c>
      <c r="G499" s="9">
        <f>B499*D499</f>
        <v>12002</v>
      </c>
      <c r="H499" s="29" t="s">
        <v>11</v>
      </c>
    </row>
    <row r="500" spans="1:8">
      <c r="A500" s="76" t="s">
        <v>70</v>
      </c>
      <c r="B500" s="85">
        <f>ROUND((SUM(E500:H500)),0)</f>
        <v>22182</v>
      </c>
      <c r="C500" s="78" t="s">
        <v>73</v>
      </c>
      <c r="D500" s="86"/>
      <c r="E500" s="80">
        <f>SUM(E495:E499)</f>
        <v>0</v>
      </c>
      <c r="F500" s="80">
        <f>SUM(F495:F499)</f>
        <v>10180</v>
      </c>
      <c r="G500" s="80">
        <f>SUM(G495:G499)</f>
        <v>12002</v>
      </c>
      <c r="H500" s="80">
        <f>SUM(H495:H499)</f>
        <v>0</v>
      </c>
    </row>
    <row r="502" spans="1:8">
      <c r="A502" s="63" t="s">
        <v>258</v>
      </c>
    </row>
    <row r="503" spans="1:8">
      <c r="A503" s="63"/>
      <c r="E503" s="68" t="s">
        <v>61</v>
      </c>
      <c r="F503" s="68" t="s">
        <v>62</v>
      </c>
      <c r="G503" s="68" t="s">
        <v>63</v>
      </c>
      <c r="H503" s="68" t="s">
        <v>64</v>
      </c>
    </row>
    <row r="504" spans="1:8">
      <c r="A504" s="29" t="s">
        <v>259</v>
      </c>
      <c r="B504" s="82">
        <v>1</v>
      </c>
      <c r="C504" s="30" t="s">
        <v>49</v>
      </c>
      <c r="D504" s="9">
        <v>45936</v>
      </c>
      <c r="E504" s="29" t="s">
        <v>11</v>
      </c>
      <c r="F504" s="83">
        <f>B504*D504</f>
        <v>45936</v>
      </c>
      <c r="G504" s="9" t="s">
        <v>11</v>
      </c>
      <c r="H504" s="29" t="s">
        <v>11</v>
      </c>
    </row>
    <row r="505" spans="1:8">
      <c r="A505" s="29" t="s">
        <v>68</v>
      </c>
      <c r="B505" s="87">
        <v>0.1176</v>
      </c>
      <c r="C505" s="30" t="s">
        <v>69</v>
      </c>
      <c r="D505" s="9">
        <v>170000</v>
      </c>
      <c r="E505" s="29" t="s">
        <v>11</v>
      </c>
      <c r="F505" s="29" t="s">
        <v>11</v>
      </c>
      <c r="G505" s="9">
        <f>B505*D505</f>
        <v>19992</v>
      </c>
      <c r="H505" s="29" t="s">
        <v>11</v>
      </c>
    </row>
    <row r="506" spans="1:8">
      <c r="A506" s="76" t="s">
        <v>70</v>
      </c>
      <c r="B506" s="85">
        <f>ROUND((SUM(E506:H506)),0)</f>
        <v>65928</v>
      </c>
      <c r="C506" s="78" t="s">
        <v>73</v>
      </c>
      <c r="D506" s="86"/>
      <c r="E506" s="80">
        <f>SUM(E504:E505)</f>
        <v>0</v>
      </c>
      <c r="F506" s="80">
        <f>SUM(F504:F505)</f>
        <v>45936</v>
      </c>
      <c r="G506" s="80">
        <f>SUM(G504:G505)</f>
        <v>19992</v>
      </c>
      <c r="H506" s="80">
        <f>SUM(H504:H505)</f>
        <v>0</v>
      </c>
    </row>
    <row r="508" spans="1:8">
      <c r="A508" s="63" t="s">
        <v>260</v>
      </c>
    </row>
    <row r="509" spans="1:8">
      <c r="A509" s="63"/>
      <c r="E509" s="68" t="s">
        <v>61</v>
      </c>
      <c r="F509" s="68" t="s">
        <v>62</v>
      </c>
      <c r="G509" s="68" t="s">
        <v>63</v>
      </c>
      <c r="H509" s="68" t="s">
        <v>64</v>
      </c>
    </row>
    <row r="510" spans="1:8">
      <c r="A510" s="29" t="s">
        <v>261</v>
      </c>
      <c r="B510" s="82">
        <v>1</v>
      </c>
      <c r="C510" s="30" t="s">
        <v>66</v>
      </c>
      <c r="D510" s="9">
        <v>2900</v>
      </c>
      <c r="E510" s="29" t="s">
        <v>11</v>
      </c>
      <c r="F510" s="83">
        <f>B510*D510</f>
        <v>2900</v>
      </c>
      <c r="G510" s="9" t="s">
        <v>11</v>
      </c>
      <c r="H510" s="29" t="s">
        <v>11</v>
      </c>
    </row>
    <row r="511" spans="1:8">
      <c r="A511" s="29" t="s">
        <v>126</v>
      </c>
      <c r="B511" s="82">
        <v>1</v>
      </c>
      <c r="C511" s="30" t="s">
        <v>66</v>
      </c>
      <c r="D511" s="9">
        <v>500</v>
      </c>
      <c r="E511" s="29" t="s">
        <v>11</v>
      </c>
      <c r="F511" s="83">
        <f>B511*D511</f>
        <v>500</v>
      </c>
      <c r="G511" s="9" t="s">
        <v>11</v>
      </c>
      <c r="H511" s="29" t="s">
        <v>11</v>
      </c>
    </row>
    <row r="512" spans="1:8">
      <c r="A512" s="29" t="s">
        <v>68</v>
      </c>
      <c r="B512" s="87">
        <v>8.8999999999999999E-3</v>
      </c>
      <c r="C512" s="30" t="s">
        <v>69</v>
      </c>
      <c r="D512" s="9">
        <v>170000</v>
      </c>
      <c r="E512" s="29" t="s">
        <v>11</v>
      </c>
      <c r="F512" s="83"/>
      <c r="G512" s="9">
        <f>B512*D512</f>
        <v>1513</v>
      </c>
      <c r="H512" s="29" t="s">
        <v>11</v>
      </c>
    </row>
    <row r="513" spans="1:8">
      <c r="A513" s="76" t="s">
        <v>70</v>
      </c>
      <c r="B513" s="85">
        <f>ROUND((SUM(E513:H513)),0)</f>
        <v>4913</v>
      </c>
      <c r="C513" s="78" t="s">
        <v>71</v>
      </c>
      <c r="D513" s="86"/>
      <c r="E513" s="80">
        <f>SUM(E510:E512)</f>
        <v>0</v>
      </c>
      <c r="F513" s="80">
        <f>SUM(F510:F512)</f>
        <v>3400</v>
      </c>
      <c r="G513" s="80">
        <f>SUM(G510:G512)</f>
        <v>1513</v>
      </c>
      <c r="H513" s="80">
        <f>SUM(H510:H512)</f>
        <v>0</v>
      </c>
    </row>
    <row r="515" spans="1:8">
      <c r="A515" s="63" t="s">
        <v>262</v>
      </c>
    </row>
    <row r="516" spans="1:8">
      <c r="A516" s="63"/>
      <c r="E516" s="68" t="s">
        <v>61</v>
      </c>
      <c r="F516" s="68" t="s">
        <v>62</v>
      </c>
      <c r="G516" s="68" t="s">
        <v>63</v>
      </c>
      <c r="H516" s="68" t="s">
        <v>64</v>
      </c>
    </row>
    <row r="517" spans="1:8">
      <c r="A517" s="29" t="s">
        <v>263</v>
      </c>
      <c r="B517" s="82">
        <v>1</v>
      </c>
      <c r="C517" s="30" t="s">
        <v>66</v>
      </c>
      <c r="D517" s="9">
        <v>45000</v>
      </c>
      <c r="E517" s="29" t="s">
        <v>11</v>
      </c>
      <c r="F517" s="83">
        <f>B517*D517</f>
        <v>45000</v>
      </c>
      <c r="G517" s="9" t="s">
        <v>11</v>
      </c>
      <c r="H517" s="29" t="s">
        <v>11</v>
      </c>
    </row>
    <row r="518" spans="1:8">
      <c r="A518" s="29" t="s">
        <v>264</v>
      </c>
      <c r="B518" s="82">
        <v>1</v>
      </c>
      <c r="C518" s="30" t="s">
        <v>18</v>
      </c>
      <c r="D518" s="9">
        <v>12000</v>
      </c>
      <c r="E518" s="29"/>
      <c r="F518" s="83">
        <f>B518*D518</f>
        <v>12000</v>
      </c>
      <c r="G518" s="9"/>
      <c r="H518" s="29"/>
    </row>
    <row r="519" spans="1:8">
      <c r="A519" s="29" t="s">
        <v>265</v>
      </c>
      <c r="B519" s="82">
        <v>1</v>
      </c>
      <c r="C519" s="30" t="s">
        <v>75</v>
      </c>
      <c r="D519" s="9">
        <v>5000</v>
      </c>
      <c r="E519" s="29" t="s">
        <v>11</v>
      </c>
      <c r="F519" s="83">
        <f>B519*D519</f>
        <v>5000</v>
      </c>
      <c r="G519" s="9" t="s">
        <v>11</v>
      </c>
      <c r="H519" s="29" t="s">
        <v>11</v>
      </c>
    </row>
    <row r="520" spans="1:8">
      <c r="A520" s="29" t="s">
        <v>68</v>
      </c>
      <c r="B520" s="87">
        <v>8.8300000000000003E-2</v>
      </c>
      <c r="C520" s="30" t="s">
        <v>69</v>
      </c>
      <c r="D520" s="9">
        <v>170000</v>
      </c>
      <c r="E520" s="29" t="s">
        <v>11</v>
      </c>
      <c r="F520" s="83"/>
      <c r="G520" s="9">
        <f>B520*D520</f>
        <v>15011</v>
      </c>
      <c r="H520" s="29" t="s">
        <v>11</v>
      </c>
    </row>
    <row r="521" spans="1:8">
      <c r="A521" s="76" t="s">
        <v>70</v>
      </c>
      <c r="B521" s="85">
        <f>ROUND((SUM(E521:H521)),0)</f>
        <v>77011</v>
      </c>
      <c r="C521" s="78" t="s">
        <v>71</v>
      </c>
      <c r="D521" s="86"/>
      <c r="E521" s="80">
        <f>SUM(E517:E520)</f>
        <v>0</v>
      </c>
      <c r="F521" s="80">
        <f>SUM(F517:F520)</f>
        <v>62000</v>
      </c>
      <c r="G521" s="80">
        <f>SUM(G517:G520)</f>
        <v>15011</v>
      </c>
      <c r="H521" s="80">
        <f>SUM(H517:H520)</f>
        <v>0</v>
      </c>
    </row>
    <row r="527" spans="1:8">
      <c r="A527" s="63" t="s">
        <v>266</v>
      </c>
    </row>
    <row r="528" spans="1:8">
      <c r="A528" s="63"/>
      <c r="E528" s="68" t="s">
        <v>61</v>
      </c>
      <c r="F528" s="68" t="s">
        <v>62</v>
      </c>
      <c r="G528" s="68" t="s">
        <v>63</v>
      </c>
      <c r="H528" s="68" t="s">
        <v>64</v>
      </c>
    </row>
    <row r="529" spans="1:8" s="121" customFormat="1" ht="14.25">
      <c r="A529" s="29" t="s">
        <v>100</v>
      </c>
      <c r="B529" s="82">
        <v>2</v>
      </c>
      <c r="C529" s="30" t="s">
        <v>66</v>
      </c>
      <c r="D529" s="9">
        <v>3923</v>
      </c>
      <c r="E529" s="29" t="s">
        <v>11</v>
      </c>
      <c r="F529" s="83">
        <f>B529*D529</f>
        <v>7846</v>
      </c>
      <c r="G529" s="9" t="s">
        <v>11</v>
      </c>
      <c r="H529" s="29" t="s">
        <v>11</v>
      </c>
    </row>
    <row r="530" spans="1:8" s="121" customFormat="1" ht="14.25">
      <c r="A530" s="29" t="s">
        <v>190</v>
      </c>
      <c r="B530" s="82">
        <v>1</v>
      </c>
      <c r="C530" s="30" t="s">
        <v>66</v>
      </c>
      <c r="D530" s="9">
        <v>1713</v>
      </c>
      <c r="E530" s="29" t="s">
        <v>11</v>
      </c>
      <c r="F530" s="83">
        <f>B530*D530</f>
        <v>1713</v>
      </c>
      <c r="G530" s="9" t="s">
        <v>11</v>
      </c>
      <c r="H530" s="29" t="s">
        <v>11</v>
      </c>
    </row>
    <row r="531" spans="1:8" s="121" customFormat="1" ht="14.25">
      <c r="A531" s="29" t="s">
        <v>194</v>
      </c>
      <c r="B531" s="82">
        <v>1</v>
      </c>
      <c r="C531" s="30" t="s">
        <v>66</v>
      </c>
      <c r="D531" s="9">
        <v>890</v>
      </c>
      <c r="E531" s="29" t="s">
        <v>11</v>
      </c>
      <c r="F531" s="83">
        <f>B531*D531</f>
        <v>890</v>
      </c>
      <c r="G531" s="9" t="s">
        <v>11</v>
      </c>
      <c r="H531" s="29" t="s">
        <v>11</v>
      </c>
    </row>
    <row r="532" spans="1:8" s="121" customFormat="1" ht="14.25">
      <c r="A532" s="29" t="s">
        <v>68</v>
      </c>
      <c r="B532" s="87">
        <v>2.9409999999999999E-2</v>
      </c>
      <c r="C532" s="30" t="s">
        <v>69</v>
      </c>
      <c r="D532" s="9">
        <v>170000</v>
      </c>
      <c r="E532" s="29" t="s">
        <v>11</v>
      </c>
      <c r="F532" s="83"/>
      <c r="G532" s="9">
        <f>B532*D532</f>
        <v>4999.7</v>
      </c>
      <c r="H532" s="29" t="s">
        <v>11</v>
      </c>
    </row>
    <row r="533" spans="1:8">
      <c r="A533" s="76" t="s">
        <v>70</v>
      </c>
      <c r="B533" s="85">
        <f>ROUND((SUM(E533:H533)),0)</f>
        <v>15449</v>
      </c>
      <c r="C533" s="78" t="s">
        <v>71</v>
      </c>
      <c r="D533" s="86"/>
      <c r="E533" s="80">
        <f>SUM(E529:E532)</f>
        <v>0</v>
      </c>
      <c r="F533" s="80">
        <f>SUM(F529:F532)</f>
        <v>10449</v>
      </c>
      <c r="G533" s="80">
        <f>SUM(G529:G532)</f>
        <v>4999.7</v>
      </c>
      <c r="H533" s="80">
        <f>SUM(H529:H532)</f>
        <v>0</v>
      </c>
    </row>
    <row r="535" spans="1:8">
      <c r="A535" s="63" t="s">
        <v>267</v>
      </c>
    </row>
    <row r="536" spans="1:8">
      <c r="A536" s="63"/>
      <c r="E536" s="68" t="s">
        <v>61</v>
      </c>
      <c r="F536" s="68" t="s">
        <v>62</v>
      </c>
      <c r="G536" s="68" t="s">
        <v>63</v>
      </c>
      <c r="H536" s="68" t="s">
        <v>64</v>
      </c>
    </row>
    <row r="537" spans="1:8">
      <c r="A537" s="29" t="s">
        <v>268</v>
      </c>
      <c r="B537" s="82">
        <v>1</v>
      </c>
      <c r="C537" s="30" t="s">
        <v>49</v>
      </c>
      <c r="D537" s="9">
        <v>57000</v>
      </c>
      <c r="E537" s="29" t="s">
        <v>11</v>
      </c>
      <c r="F537" s="83">
        <f>B537*D537</f>
        <v>57000</v>
      </c>
      <c r="G537" s="9" t="s">
        <v>11</v>
      </c>
      <c r="H537" s="29" t="s">
        <v>11</v>
      </c>
    </row>
    <row r="538" spans="1:8">
      <c r="A538" s="29" t="s">
        <v>68</v>
      </c>
      <c r="B538" s="91">
        <v>0.17649999999999999</v>
      </c>
      <c r="C538" s="30" t="s">
        <v>69</v>
      </c>
      <c r="D538" s="9">
        <v>170000</v>
      </c>
      <c r="E538" s="29" t="s">
        <v>11</v>
      </c>
      <c r="F538" s="29" t="s">
        <v>11</v>
      </c>
      <c r="G538" s="9">
        <f>B538*D538</f>
        <v>30005</v>
      </c>
      <c r="H538" s="29" t="s">
        <v>11</v>
      </c>
    </row>
    <row r="539" spans="1:8">
      <c r="A539" s="76" t="s">
        <v>70</v>
      </c>
      <c r="B539" s="85">
        <f>ROUND((SUM(E539:H539)),0)</f>
        <v>87005</v>
      </c>
      <c r="C539" s="78" t="s">
        <v>73</v>
      </c>
      <c r="D539" s="86"/>
      <c r="E539" s="80">
        <f>SUM(E537:E538)</f>
        <v>0</v>
      </c>
      <c r="F539" s="80">
        <f>SUM(F537:F538)</f>
        <v>57000</v>
      </c>
      <c r="G539" s="80">
        <f>SUM(G537:G538)</f>
        <v>30005</v>
      </c>
      <c r="H539" s="80">
        <f>SUM(H537:H538)</f>
        <v>0</v>
      </c>
    </row>
    <row r="541" spans="1:8">
      <c r="A541" s="63" t="s">
        <v>269</v>
      </c>
    </row>
    <row r="542" spans="1:8">
      <c r="A542" s="63"/>
      <c r="E542" s="68" t="s">
        <v>61</v>
      </c>
      <c r="F542" s="68" t="s">
        <v>62</v>
      </c>
      <c r="G542" s="68" t="s">
        <v>63</v>
      </c>
      <c r="H542" s="68" t="s">
        <v>64</v>
      </c>
    </row>
    <row r="543" spans="1:8">
      <c r="A543" s="29" t="s">
        <v>270</v>
      </c>
      <c r="B543" s="82">
        <v>1</v>
      </c>
      <c r="C543" s="30" t="s">
        <v>49</v>
      </c>
      <c r="D543" s="9">
        <v>50000</v>
      </c>
      <c r="E543" s="29" t="s">
        <v>11</v>
      </c>
      <c r="F543" s="83">
        <f>B543*D543</f>
        <v>50000</v>
      </c>
      <c r="G543" s="9" t="s">
        <v>11</v>
      </c>
      <c r="H543" s="29" t="s">
        <v>11</v>
      </c>
    </row>
    <row r="544" spans="1:8">
      <c r="A544" s="29" t="s">
        <v>68</v>
      </c>
      <c r="B544" s="89">
        <v>0.15</v>
      </c>
      <c r="C544" s="30" t="s">
        <v>69</v>
      </c>
      <c r="D544" s="9">
        <v>170000</v>
      </c>
      <c r="E544" s="29" t="s">
        <v>11</v>
      </c>
      <c r="F544" s="29" t="s">
        <v>11</v>
      </c>
      <c r="G544" s="9">
        <f>B544*D544</f>
        <v>25500</v>
      </c>
      <c r="H544" s="29" t="s">
        <v>11</v>
      </c>
    </row>
    <row r="545" spans="1:8">
      <c r="A545" s="76" t="s">
        <v>70</v>
      </c>
      <c r="B545" s="85">
        <f>ROUND((SUM(E545:H545)),0)</f>
        <v>75500</v>
      </c>
      <c r="C545" s="78" t="s">
        <v>73</v>
      </c>
      <c r="D545" s="86"/>
      <c r="E545" s="80">
        <f>SUM(E543:E544)</f>
        <v>0</v>
      </c>
      <c r="F545" s="80">
        <f>SUM(F543:F544)</f>
        <v>50000</v>
      </c>
      <c r="G545" s="80">
        <f>SUM(G543:G544)</f>
        <v>25500</v>
      </c>
      <c r="H545" s="80">
        <f>SUM(H543:H544)</f>
        <v>0</v>
      </c>
    </row>
    <row r="546" spans="1:8">
      <c r="A546" s="122"/>
      <c r="B546" s="123"/>
      <c r="C546" s="124"/>
      <c r="D546" s="125"/>
      <c r="E546" s="126"/>
      <c r="F546" s="126"/>
      <c r="G546" s="126"/>
      <c r="H546" s="126"/>
    </row>
    <row r="547" spans="1:8">
      <c r="A547" s="63" t="s">
        <v>271</v>
      </c>
    </row>
    <row r="548" spans="1:8">
      <c r="A548" s="63"/>
      <c r="E548" s="68" t="s">
        <v>61</v>
      </c>
      <c r="F548" s="68" t="s">
        <v>62</v>
      </c>
      <c r="G548" s="68" t="s">
        <v>63</v>
      </c>
      <c r="H548" s="68" t="s">
        <v>64</v>
      </c>
    </row>
    <row r="549" spans="1:8">
      <c r="A549" s="29" t="s">
        <v>232</v>
      </c>
      <c r="B549" s="82">
        <v>1</v>
      </c>
      <c r="C549" s="30" t="s">
        <v>49</v>
      </c>
      <c r="D549" s="9">
        <v>1200</v>
      </c>
      <c r="E549" s="29" t="s">
        <v>11</v>
      </c>
      <c r="F549" s="83">
        <f t="shared" ref="F549:F554" si="14">B549*D549</f>
        <v>1200</v>
      </c>
      <c r="G549" s="9" t="s">
        <v>11</v>
      </c>
      <c r="H549" s="29" t="s">
        <v>11</v>
      </c>
    </row>
    <row r="550" spans="1:8">
      <c r="A550" s="29" t="s">
        <v>201</v>
      </c>
      <c r="B550" s="82">
        <v>24</v>
      </c>
      <c r="C550" s="30" t="s">
        <v>66</v>
      </c>
      <c r="D550" s="9">
        <v>790</v>
      </c>
      <c r="E550" s="29" t="s">
        <v>11</v>
      </c>
      <c r="F550" s="83">
        <f t="shared" si="14"/>
        <v>18960</v>
      </c>
      <c r="G550" s="9" t="s">
        <v>11</v>
      </c>
      <c r="H550" s="29" t="s">
        <v>11</v>
      </c>
    </row>
    <row r="551" spans="1:8">
      <c r="A551" s="29" t="s">
        <v>197</v>
      </c>
      <c r="B551" s="82">
        <v>6</v>
      </c>
      <c r="C551" s="30" t="s">
        <v>66</v>
      </c>
      <c r="D551" s="29">
        <v>700</v>
      </c>
      <c r="E551" s="29" t="s">
        <v>11</v>
      </c>
      <c r="F551" s="83">
        <f t="shared" si="14"/>
        <v>4200</v>
      </c>
      <c r="G551" s="9" t="s">
        <v>11</v>
      </c>
      <c r="H551" s="29" t="s">
        <v>11</v>
      </c>
    </row>
    <row r="552" spans="1:8">
      <c r="A552" s="29" t="s">
        <v>225</v>
      </c>
      <c r="B552" s="82">
        <v>2</v>
      </c>
      <c r="C552" s="30" t="s">
        <v>49</v>
      </c>
      <c r="D552" s="29">
        <v>190</v>
      </c>
      <c r="E552" s="29" t="s">
        <v>11</v>
      </c>
      <c r="F552" s="83">
        <f t="shared" si="14"/>
        <v>380</v>
      </c>
      <c r="G552" s="9" t="s">
        <v>11</v>
      </c>
      <c r="H552" s="29" t="s">
        <v>11</v>
      </c>
    </row>
    <row r="553" spans="1:8">
      <c r="A553" s="29" t="s">
        <v>226</v>
      </c>
      <c r="B553" s="82">
        <v>6</v>
      </c>
      <c r="C553" s="30" t="s">
        <v>49</v>
      </c>
      <c r="D553" s="29">
        <v>850</v>
      </c>
      <c r="E553" s="29" t="s">
        <v>11</v>
      </c>
      <c r="F553" s="83">
        <f t="shared" si="14"/>
        <v>5100</v>
      </c>
      <c r="G553" s="9" t="s">
        <v>11</v>
      </c>
      <c r="H553" s="29" t="s">
        <v>11</v>
      </c>
    </row>
    <row r="554" spans="1:8">
      <c r="A554" s="29" t="s">
        <v>272</v>
      </c>
      <c r="B554" s="82">
        <v>1</v>
      </c>
      <c r="C554" s="30" t="s">
        <v>49</v>
      </c>
      <c r="D554" s="9">
        <v>4500</v>
      </c>
      <c r="E554" s="29" t="s">
        <v>11</v>
      </c>
      <c r="F554" s="83">
        <f t="shared" si="14"/>
        <v>4500</v>
      </c>
      <c r="G554" s="9" t="s">
        <v>11</v>
      </c>
      <c r="H554" s="29" t="s">
        <v>11</v>
      </c>
    </row>
    <row r="555" spans="1:8">
      <c r="A555" s="29" t="s">
        <v>68</v>
      </c>
      <c r="B555" s="87">
        <v>0.10589999999999999</v>
      </c>
      <c r="C555" s="30" t="s">
        <v>69</v>
      </c>
      <c r="D555" s="9">
        <v>170000</v>
      </c>
      <c r="E555" s="29" t="s">
        <v>11</v>
      </c>
      <c r="F555" s="29" t="s">
        <v>11</v>
      </c>
      <c r="G555" s="9">
        <f>B555*D555</f>
        <v>18003</v>
      </c>
      <c r="H555" s="29" t="s">
        <v>11</v>
      </c>
    </row>
    <row r="556" spans="1:8">
      <c r="A556" s="76" t="s">
        <v>70</v>
      </c>
      <c r="B556" s="85">
        <f>ROUND((SUM(E556:H556)),0)</f>
        <v>52343</v>
      </c>
      <c r="C556" s="78" t="s">
        <v>73</v>
      </c>
      <c r="D556" s="86"/>
      <c r="E556" s="80">
        <f>SUM(E549:E555)</f>
        <v>0</v>
      </c>
      <c r="F556" s="80">
        <f>SUM(F549:F555)</f>
        <v>34340</v>
      </c>
      <c r="G556" s="80">
        <f>SUM(G549:G555)</f>
        <v>18003</v>
      </c>
      <c r="H556" s="80">
        <f>SUM(H549:H555)</f>
        <v>0</v>
      </c>
    </row>
    <row r="557" spans="1:8">
      <c r="A557" s="122"/>
      <c r="B557" s="123"/>
      <c r="C557" s="124"/>
      <c r="D557" s="125"/>
      <c r="E557" s="126"/>
      <c r="F557" s="126"/>
      <c r="G557" s="126"/>
      <c r="H557" s="126"/>
    </row>
    <row r="558" spans="1:8">
      <c r="A558" s="63" t="s">
        <v>273</v>
      </c>
    </row>
    <row r="559" spans="1:8">
      <c r="A559" s="63"/>
      <c r="E559" s="68" t="s">
        <v>61</v>
      </c>
      <c r="F559" s="68" t="s">
        <v>62</v>
      </c>
      <c r="G559" s="68" t="s">
        <v>63</v>
      </c>
      <c r="H559" s="68" t="s">
        <v>64</v>
      </c>
    </row>
    <row r="560" spans="1:8">
      <c r="A560" s="29" t="s">
        <v>232</v>
      </c>
      <c r="B560" s="82">
        <v>1</v>
      </c>
      <c r="C560" s="30" t="s">
        <v>49</v>
      </c>
      <c r="D560" s="9">
        <v>1200</v>
      </c>
      <c r="E560" s="29" t="s">
        <v>11</v>
      </c>
      <c r="F560" s="83">
        <f t="shared" ref="F560:F565" si="15">B560*D560</f>
        <v>1200</v>
      </c>
      <c r="G560" s="9" t="s">
        <v>11</v>
      </c>
      <c r="H560" s="29" t="s">
        <v>11</v>
      </c>
    </row>
    <row r="561" spans="1:8">
      <c r="A561" s="29" t="s">
        <v>201</v>
      </c>
      <c r="B561" s="82">
        <v>36</v>
      </c>
      <c r="C561" s="30" t="s">
        <v>66</v>
      </c>
      <c r="D561" s="9">
        <v>790</v>
      </c>
      <c r="E561" s="29" t="s">
        <v>11</v>
      </c>
      <c r="F561" s="83">
        <f t="shared" si="15"/>
        <v>28440</v>
      </c>
      <c r="G561" s="9" t="s">
        <v>11</v>
      </c>
      <c r="H561" s="29" t="s">
        <v>11</v>
      </c>
    </row>
    <row r="562" spans="1:8">
      <c r="A562" s="29" t="s">
        <v>197</v>
      </c>
      <c r="B562" s="82">
        <v>6</v>
      </c>
      <c r="C562" s="30" t="s">
        <v>66</v>
      </c>
      <c r="D562" s="29">
        <v>700</v>
      </c>
      <c r="E562" s="29" t="s">
        <v>11</v>
      </c>
      <c r="F562" s="83">
        <f t="shared" si="15"/>
        <v>4200</v>
      </c>
      <c r="G562" s="9" t="s">
        <v>11</v>
      </c>
      <c r="H562" s="29" t="s">
        <v>11</v>
      </c>
    </row>
    <row r="563" spans="1:8">
      <c r="A563" s="29" t="s">
        <v>225</v>
      </c>
      <c r="B563" s="82">
        <v>2</v>
      </c>
      <c r="C563" s="30" t="s">
        <v>49</v>
      </c>
      <c r="D563" s="29">
        <v>190</v>
      </c>
      <c r="E563" s="29" t="s">
        <v>11</v>
      </c>
      <c r="F563" s="83">
        <f t="shared" si="15"/>
        <v>380</v>
      </c>
      <c r="G563" s="9" t="s">
        <v>11</v>
      </c>
      <c r="H563" s="29" t="s">
        <v>11</v>
      </c>
    </row>
    <row r="564" spans="1:8">
      <c r="A564" s="29" t="s">
        <v>226</v>
      </c>
      <c r="B564" s="82">
        <v>6</v>
      </c>
      <c r="C564" s="30" t="s">
        <v>49</v>
      </c>
      <c r="D564" s="29">
        <v>850</v>
      </c>
      <c r="E564" s="29" t="s">
        <v>11</v>
      </c>
      <c r="F564" s="83">
        <f t="shared" si="15"/>
        <v>5100</v>
      </c>
      <c r="G564" s="9" t="s">
        <v>11</v>
      </c>
      <c r="H564" s="29" t="s">
        <v>11</v>
      </c>
    </row>
    <row r="565" spans="1:8">
      <c r="A565" s="29" t="s">
        <v>274</v>
      </c>
      <c r="B565" s="82">
        <v>1</v>
      </c>
      <c r="C565" s="30" t="s">
        <v>49</v>
      </c>
      <c r="D565" s="9">
        <v>9000</v>
      </c>
      <c r="E565" s="29" t="s">
        <v>11</v>
      </c>
      <c r="F565" s="83">
        <f t="shared" si="15"/>
        <v>9000</v>
      </c>
      <c r="G565" s="9" t="s">
        <v>11</v>
      </c>
      <c r="H565" s="29" t="s">
        <v>11</v>
      </c>
    </row>
    <row r="566" spans="1:8">
      <c r="A566" s="29" t="s">
        <v>68</v>
      </c>
      <c r="B566" s="87">
        <v>0.10589999999999999</v>
      </c>
      <c r="C566" s="30" t="s">
        <v>69</v>
      </c>
      <c r="D566" s="9">
        <v>170000</v>
      </c>
      <c r="E566" s="29" t="s">
        <v>11</v>
      </c>
      <c r="F566" s="29" t="s">
        <v>11</v>
      </c>
      <c r="G566" s="9">
        <f>B566*D566</f>
        <v>18003</v>
      </c>
      <c r="H566" s="29" t="s">
        <v>11</v>
      </c>
    </row>
    <row r="567" spans="1:8">
      <c r="A567" s="76" t="s">
        <v>70</v>
      </c>
      <c r="B567" s="85">
        <f>ROUND((SUM(E567:H567)),0)</f>
        <v>66323</v>
      </c>
      <c r="C567" s="78" t="s">
        <v>73</v>
      </c>
      <c r="D567" s="86"/>
      <c r="E567" s="80">
        <f>SUM(E560:E566)</f>
        <v>0</v>
      </c>
      <c r="F567" s="80">
        <f>SUM(F560:F566)</f>
        <v>48320</v>
      </c>
      <c r="G567" s="80">
        <f>SUM(G560:G566)</f>
        <v>18003</v>
      </c>
      <c r="H567" s="80">
        <f>SUM(H560:H566)</f>
        <v>0</v>
      </c>
    </row>
    <row r="568" spans="1:8">
      <c r="A568" s="122"/>
      <c r="B568" s="123"/>
      <c r="C568" s="124"/>
      <c r="D568" s="125"/>
      <c r="E568" s="126"/>
      <c r="F568" s="126"/>
      <c r="G568" s="126"/>
      <c r="H568" s="126"/>
    </row>
    <row r="569" spans="1:8">
      <c r="A569" s="63" t="s">
        <v>275</v>
      </c>
    </row>
    <row r="570" spans="1:8">
      <c r="A570" s="63"/>
      <c r="E570" s="68" t="s">
        <v>61</v>
      </c>
      <c r="F570" s="68" t="s">
        <v>62</v>
      </c>
      <c r="G570" s="68" t="s">
        <v>63</v>
      </c>
      <c r="H570" s="68" t="s">
        <v>64</v>
      </c>
    </row>
    <row r="571" spans="1:8">
      <c r="A571" s="29" t="s">
        <v>232</v>
      </c>
      <c r="B571" s="82">
        <v>1</v>
      </c>
      <c r="C571" s="30" t="s">
        <v>49</v>
      </c>
      <c r="D571" s="9">
        <v>1200</v>
      </c>
      <c r="E571" s="29" t="s">
        <v>11</v>
      </c>
      <c r="F571" s="83">
        <f t="shared" ref="F571:F576" si="16">B571*D571</f>
        <v>1200</v>
      </c>
      <c r="G571" s="9" t="s">
        <v>11</v>
      </c>
      <c r="H571" s="29" t="s">
        <v>11</v>
      </c>
    </row>
    <row r="572" spans="1:8">
      <c r="A572" s="29" t="s">
        <v>276</v>
      </c>
      <c r="B572" s="82">
        <v>18</v>
      </c>
      <c r="C572" s="30" t="s">
        <v>66</v>
      </c>
      <c r="D572" s="9">
        <v>255</v>
      </c>
      <c r="E572" s="29" t="s">
        <v>11</v>
      </c>
      <c r="F572" s="83">
        <f t="shared" si="16"/>
        <v>4590</v>
      </c>
      <c r="G572" s="9" t="s">
        <v>11</v>
      </c>
      <c r="H572" s="29" t="s">
        <v>11</v>
      </c>
    </row>
    <row r="573" spans="1:8">
      <c r="A573" s="29" t="s">
        <v>197</v>
      </c>
      <c r="B573" s="82">
        <v>6</v>
      </c>
      <c r="C573" s="30" t="s">
        <v>66</v>
      </c>
      <c r="D573" s="29">
        <v>700</v>
      </c>
      <c r="E573" s="29" t="s">
        <v>11</v>
      </c>
      <c r="F573" s="83">
        <f t="shared" si="16"/>
        <v>4200</v>
      </c>
      <c r="G573" s="9" t="s">
        <v>11</v>
      </c>
      <c r="H573" s="29" t="s">
        <v>11</v>
      </c>
    </row>
    <row r="574" spans="1:8">
      <c r="A574" s="29" t="s">
        <v>225</v>
      </c>
      <c r="B574" s="82">
        <v>2</v>
      </c>
      <c r="C574" s="30" t="s">
        <v>49</v>
      </c>
      <c r="D574" s="29">
        <v>190</v>
      </c>
      <c r="E574" s="29" t="s">
        <v>11</v>
      </c>
      <c r="F574" s="83">
        <f t="shared" si="16"/>
        <v>380</v>
      </c>
      <c r="G574" s="9" t="s">
        <v>11</v>
      </c>
      <c r="H574" s="29" t="s">
        <v>11</v>
      </c>
    </row>
    <row r="575" spans="1:8">
      <c r="A575" s="29" t="s">
        <v>226</v>
      </c>
      <c r="B575" s="82">
        <v>6</v>
      </c>
      <c r="C575" s="30" t="s">
        <v>49</v>
      </c>
      <c r="D575" s="29">
        <v>850</v>
      </c>
      <c r="E575" s="29" t="s">
        <v>11</v>
      </c>
      <c r="F575" s="83">
        <f t="shared" si="16"/>
        <v>5100</v>
      </c>
      <c r="G575" s="9" t="s">
        <v>11</v>
      </c>
      <c r="H575" s="29" t="s">
        <v>11</v>
      </c>
    </row>
    <row r="576" spans="1:8">
      <c r="A576" s="29" t="s">
        <v>277</v>
      </c>
      <c r="B576" s="82">
        <v>1</v>
      </c>
      <c r="C576" s="30" t="s">
        <v>49</v>
      </c>
      <c r="D576" s="9">
        <v>10000</v>
      </c>
      <c r="E576" s="29" t="s">
        <v>11</v>
      </c>
      <c r="F576" s="83">
        <f t="shared" si="16"/>
        <v>10000</v>
      </c>
      <c r="G576" s="9" t="s">
        <v>11</v>
      </c>
      <c r="H576" s="29" t="s">
        <v>11</v>
      </c>
    </row>
    <row r="577" spans="1:8">
      <c r="A577" s="29" t="s">
        <v>68</v>
      </c>
      <c r="B577" s="87">
        <v>0.10589999999999999</v>
      </c>
      <c r="C577" s="30" t="s">
        <v>69</v>
      </c>
      <c r="D577" s="9">
        <v>170000</v>
      </c>
      <c r="E577" s="29" t="s">
        <v>11</v>
      </c>
      <c r="F577" s="29" t="s">
        <v>11</v>
      </c>
      <c r="G577" s="9">
        <f>B577*D577</f>
        <v>18003</v>
      </c>
      <c r="H577" s="29" t="s">
        <v>11</v>
      </c>
    </row>
    <row r="578" spans="1:8">
      <c r="A578" s="76" t="s">
        <v>70</v>
      </c>
      <c r="B578" s="85">
        <f>ROUND((SUM(E578:H578)),0)</f>
        <v>43473</v>
      </c>
      <c r="C578" s="78" t="s">
        <v>73</v>
      </c>
      <c r="D578" s="86"/>
      <c r="E578" s="80">
        <f>SUM(E571:E577)</f>
        <v>0</v>
      </c>
      <c r="F578" s="80">
        <f>SUM(F571:F577)</f>
        <v>25470</v>
      </c>
      <c r="G578" s="80">
        <f>SUM(G571:G577)</f>
        <v>18003</v>
      </c>
      <c r="H578" s="80">
        <f>SUM(H571:H577)</f>
        <v>0</v>
      </c>
    </row>
    <row r="579" spans="1:8">
      <c r="A579" s="122"/>
      <c r="B579" s="123"/>
      <c r="C579" s="124"/>
      <c r="D579" s="125"/>
      <c r="E579" s="126"/>
      <c r="F579" s="126"/>
      <c r="G579" s="126"/>
      <c r="H579" s="126"/>
    </row>
    <row r="580" spans="1:8">
      <c r="A580" s="63" t="s">
        <v>278</v>
      </c>
    </row>
    <row r="581" spans="1:8">
      <c r="A581" s="63"/>
      <c r="E581" s="68" t="s">
        <v>61</v>
      </c>
      <c r="F581" s="68" t="s">
        <v>62</v>
      </c>
      <c r="G581" s="68" t="s">
        <v>63</v>
      </c>
      <c r="H581" s="68" t="s">
        <v>64</v>
      </c>
    </row>
    <row r="582" spans="1:8">
      <c r="A582" s="29" t="s">
        <v>232</v>
      </c>
      <c r="B582" s="82">
        <v>1</v>
      </c>
      <c r="C582" s="30" t="s">
        <v>49</v>
      </c>
      <c r="D582" s="9">
        <v>1200</v>
      </c>
      <c r="E582" s="29" t="s">
        <v>11</v>
      </c>
      <c r="F582" s="83">
        <f>B582*D582</f>
        <v>1200</v>
      </c>
      <c r="G582" s="9" t="s">
        <v>11</v>
      </c>
      <c r="H582" s="29" t="s">
        <v>11</v>
      </c>
    </row>
    <row r="583" spans="1:8">
      <c r="A583" s="29" t="s">
        <v>197</v>
      </c>
      <c r="B583" s="82">
        <v>3</v>
      </c>
      <c r="C583" s="30" t="s">
        <v>66</v>
      </c>
      <c r="D583" s="29">
        <v>700</v>
      </c>
      <c r="E583" s="29" t="s">
        <v>11</v>
      </c>
      <c r="F583" s="83">
        <f>B583*D583</f>
        <v>2100</v>
      </c>
      <c r="G583" s="9" t="s">
        <v>11</v>
      </c>
      <c r="H583" s="29" t="s">
        <v>11</v>
      </c>
    </row>
    <row r="584" spans="1:8">
      <c r="A584" s="29" t="s">
        <v>225</v>
      </c>
      <c r="B584" s="82">
        <v>2</v>
      </c>
      <c r="C584" s="30" t="s">
        <v>49</v>
      </c>
      <c r="D584" s="29">
        <v>190</v>
      </c>
      <c r="E584" s="29" t="s">
        <v>11</v>
      </c>
      <c r="F584" s="83">
        <f>B584*D584</f>
        <v>380</v>
      </c>
      <c r="G584" s="9" t="s">
        <v>11</v>
      </c>
      <c r="H584" s="29" t="s">
        <v>11</v>
      </c>
    </row>
    <row r="585" spans="1:8">
      <c r="A585" s="29" t="s">
        <v>68</v>
      </c>
      <c r="B585" s="91">
        <v>7.0599999999999996E-2</v>
      </c>
      <c r="C585" s="30" t="s">
        <v>69</v>
      </c>
      <c r="D585" s="9">
        <v>170000</v>
      </c>
      <c r="E585" s="29" t="s">
        <v>11</v>
      </c>
      <c r="F585" s="29" t="s">
        <v>11</v>
      </c>
      <c r="G585" s="9">
        <f>B585*D585</f>
        <v>12002</v>
      </c>
      <c r="H585" s="29" t="s">
        <v>11</v>
      </c>
    </row>
    <row r="586" spans="1:8">
      <c r="A586" s="76" t="s">
        <v>70</v>
      </c>
      <c r="B586" s="85">
        <f>ROUND((SUM(E586:H586)),0)</f>
        <v>15682</v>
      </c>
      <c r="C586" s="78" t="s">
        <v>73</v>
      </c>
      <c r="D586" s="86"/>
      <c r="E586" s="80">
        <f>SUM(E582:E585)</f>
        <v>0</v>
      </c>
      <c r="F586" s="80">
        <f>SUM(F582:F585)</f>
        <v>3680</v>
      </c>
      <c r="G586" s="80">
        <f>SUM(G582:G585)</f>
        <v>12002</v>
      </c>
      <c r="H586" s="80">
        <f>SUM(H582:H585)</f>
        <v>0</v>
      </c>
    </row>
    <row r="587" spans="1:8">
      <c r="A587" s="122"/>
      <c r="B587" s="123"/>
      <c r="C587" s="124"/>
      <c r="D587" s="125"/>
      <c r="E587" s="126"/>
      <c r="F587" s="126"/>
      <c r="G587" s="126"/>
      <c r="H587" s="126"/>
    </row>
    <row r="588" spans="1:8" s="50" customFormat="1">
      <c r="A588" s="63" t="s">
        <v>279</v>
      </c>
      <c r="B588" s="64"/>
      <c r="C588" s="65"/>
      <c r="D588" s="66"/>
      <c r="E588" s="64"/>
      <c r="F588" s="64"/>
      <c r="G588" s="64"/>
      <c r="H588" s="64"/>
    </row>
    <row r="589" spans="1:8" s="50" customFormat="1">
      <c r="A589" s="63"/>
      <c r="B589" s="64"/>
      <c r="C589" s="65"/>
      <c r="D589" s="66"/>
      <c r="E589" s="68" t="s">
        <v>61</v>
      </c>
      <c r="F589" s="68" t="s">
        <v>62</v>
      </c>
      <c r="G589" s="68" t="s">
        <v>63</v>
      </c>
      <c r="H589" s="68" t="s">
        <v>64</v>
      </c>
    </row>
    <row r="590" spans="1:8" s="50" customFormat="1">
      <c r="A590" s="6" t="s">
        <v>52</v>
      </c>
      <c r="B590" s="115">
        <v>1</v>
      </c>
      <c r="C590" s="27" t="s">
        <v>49</v>
      </c>
      <c r="D590" s="8">
        <v>385000</v>
      </c>
      <c r="E590" s="6" t="s">
        <v>11</v>
      </c>
      <c r="F590" s="6">
        <f>B590*D590</f>
        <v>385000</v>
      </c>
      <c r="G590" s="8" t="s">
        <v>11</v>
      </c>
      <c r="H590" s="127"/>
    </row>
    <row r="591" spans="1:8" s="50" customFormat="1">
      <c r="A591" s="129" t="s">
        <v>70</v>
      </c>
      <c r="B591" s="85">
        <f>ROUND((SUM(E591:H591)),0)</f>
        <v>385000</v>
      </c>
      <c r="C591" s="130" t="s">
        <v>73</v>
      </c>
      <c r="D591" s="131"/>
      <c r="E591" s="132">
        <f>SUM(E590:E590)</f>
        <v>0</v>
      </c>
      <c r="F591" s="132">
        <f>SUM(F590:F590)</f>
        <v>385000</v>
      </c>
      <c r="G591" s="132">
        <f>SUM(G590:G590)</f>
        <v>0</v>
      </c>
      <c r="H591" s="132">
        <f>SUM(H590:H590)</f>
        <v>0</v>
      </c>
    </row>
    <row r="592" spans="1:8">
      <c r="A592" s="122"/>
      <c r="B592" s="123"/>
      <c r="C592" s="124"/>
      <c r="D592" s="125"/>
      <c r="E592" s="126"/>
      <c r="F592" s="126"/>
      <c r="G592" s="126"/>
      <c r="H592" s="126"/>
    </row>
    <row r="593" spans="1:8">
      <c r="A593" s="63" t="s">
        <v>280</v>
      </c>
    </row>
    <row r="594" spans="1:8">
      <c r="A594" s="63"/>
      <c r="E594" s="68" t="s">
        <v>61</v>
      </c>
      <c r="F594" s="68" t="s">
        <v>62</v>
      </c>
      <c r="G594" s="68" t="s">
        <v>63</v>
      </c>
      <c r="H594" s="68" t="s">
        <v>64</v>
      </c>
    </row>
    <row r="595" spans="1:8">
      <c r="A595" s="29" t="s">
        <v>261</v>
      </c>
      <c r="B595" s="82">
        <v>2</v>
      </c>
      <c r="C595" s="30" t="s">
        <v>66</v>
      </c>
      <c r="D595" s="9">
        <v>3900</v>
      </c>
      <c r="E595" s="29" t="s">
        <v>11</v>
      </c>
      <c r="F595" s="83">
        <f>B595*D595</f>
        <v>7800</v>
      </c>
      <c r="G595" s="9" t="s">
        <v>11</v>
      </c>
      <c r="H595" s="29" t="s">
        <v>11</v>
      </c>
    </row>
    <row r="596" spans="1:8">
      <c r="A596" s="29" t="s">
        <v>126</v>
      </c>
      <c r="B596" s="82">
        <v>1</v>
      </c>
      <c r="C596" s="30" t="s">
        <v>66</v>
      </c>
      <c r="D596" s="9">
        <v>500</v>
      </c>
      <c r="E596" s="29" t="s">
        <v>11</v>
      </c>
      <c r="F596" s="83">
        <f>B596*D596</f>
        <v>500</v>
      </c>
      <c r="G596" s="9" t="s">
        <v>11</v>
      </c>
      <c r="H596" s="29" t="s">
        <v>11</v>
      </c>
    </row>
    <row r="597" spans="1:8">
      <c r="A597" s="29" t="s">
        <v>68</v>
      </c>
      <c r="B597" s="87">
        <v>2.35E-2</v>
      </c>
      <c r="C597" s="30" t="s">
        <v>69</v>
      </c>
      <c r="D597" s="9">
        <v>170000</v>
      </c>
      <c r="E597" s="29" t="s">
        <v>11</v>
      </c>
      <c r="F597" s="83"/>
      <c r="G597" s="9">
        <f>B597*D597</f>
        <v>3995</v>
      </c>
      <c r="H597" s="29" t="s">
        <v>11</v>
      </c>
    </row>
    <row r="598" spans="1:8">
      <c r="A598" s="76" t="s">
        <v>70</v>
      </c>
      <c r="B598" s="85">
        <f>ROUND((SUM(E598:H598)),0)</f>
        <v>12295</v>
      </c>
      <c r="C598" s="78" t="s">
        <v>71</v>
      </c>
      <c r="D598" s="86"/>
      <c r="E598" s="80">
        <f>SUM(E595:E597)</f>
        <v>0</v>
      </c>
      <c r="F598" s="80">
        <f>SUM(F595:F597)</f>
        <v>8300</v>
      </c>
      <c r="G598" s="80">
        <f>SUM(G595:G597)</f>
        <v>3995</v>
      </c>
      <c r="H598" s="80">
        <f>SUM(H595:H597)</f>
        <v>0</v>
      </c>
    </row>
    <row r="600" spans="1:8">
      <c r="A600" s="63" t="s">
        <v>260</v>
      </c>
    </row>
    <row r="601" spans="1:8">
      <c r="A601" s="63"/>
      <c r="E601" s="68" t="s">
        <v>61</v>
      </c>
      <c r="F601" s="68" t="s">
        <v>62</v>
      </c>
      <c r="G601" s="68" t="s">
        <v>63</v>
      </c>
      <c r="H601" s="68" t="s">
        <v>64</v>
      </c>
    </row>
    <row r="602" spans="1:8">
      <c r="A602" s="29" t="s">
        <v>261</v>
      </c>
      <c r="B602" s="82">
        <v>1</v>
      </c>
      <c r="C602" s="30" t="s">
        <v>66</v>
      </c>
      <c r="D602" s="9">
        <v>3900</v>
      </c>
      <c r="E602" s="29" t="s">
        <v>11</v>
      </c>
      <c r="F602" s="83">
        <f>B602*D602</f>
        <v>3900</v>
      </c>
      <c r="G602" s="9" t="s">
        <v>11</v>
      </c>
      <c r="H602" s="29" t="s">
        <v>11</v>
      </c>
    </row>
    <row r="603" spans="1:8">
      <c r="A603" s="29" t="s">
        <v>126</v>
      </c>
      <c r="B603" s="82">
        <v>1</v>
      </c>
      <c r="C603" s="30" t="s">
        <v>66</v>
      </c>
      <c r="D603" s="9">
        <v>200</v>
      </c>
      <c r="E603" s="29" t="s">
        <v>11</v>
      </c>
      <c r="F603" s="83">
        <f>B603*D603</f>
        <v>200</v>
      </c>
      <c r="G603" s="9" t="s">
        <v>11</v>
      </c>
      <c r="H603" s="29" t="s">
        <v>11</v>
      </c>
    </row>
    <row r="604" spans="1:8">
      <c r="A604" s="29" t="s">
        <v>265</v>
      </c>
      <c r="B604" s="82">
        <v>1</v>
      </c>
      <c r="C604" s="30" t="s">
        <v>75</v>
      </c>
      <c r="D604" s="9">
        <v>1000</v>
      </c>
      <c r="E604" s="29"/>
      <c r="F604" s="83">
        <f>B604*D604</f>
        <v>1000</v>
      </c>
      <c r="G604" s="9"/>
      <c r="H604" s="29"/>
    </row>
    <row r="605" spans="1:8">
      <c r="A605" s="29" t="s">
        <v>68</v>
      </c>
      <c r="B605" s="135">
        <v>1.1764E-2</v>
      </c>
      <c r="C605" s="30" t="s">
        <v>69</v>
      </c>
      <c r="D605" s="9">
        <v>170000</v>
      </c>
      <c r="E605" s="29" t="s">
        <v>11</v>
      </c>
      <c r="F605" s="83"/>
      <c r="G605" s="9">
        <f>B605*D605</f>
        <v>1999.88</v>
      </c>
      <c r="H605" s="29" t="s">
        <v>11</v>
      </c>
    </row>
    <row r="606" spans="1:8">
      <c r="A606" s="76" t="s">
        <v>70</v>
      </c>
      <c r="B606" s="85">
        <f>ROUND((SUM(E606:H606)),0)</f>
        <v>7100</v>
      </c>
      <c r="C606" s="78" t="s">
        <v>71</v>
      </c>
      <c r="D606" s="86"/>
      <c r="E606" s="80">
        <f>SUM(E602:E605)</f>
        <v>0</v>
      </c>
      <c r="F606" s="80">
        <f>SUM(F602:F605)</f>
        <v>5100</v>
      </c>
      <c r="G606" s="80">
        <f>SUM(G602:G605)</f>
        <v>1999.88</v>
      </c>
      <c r="H606" s="80">
        <f>SUM(H602:H605)</f>
        <v>0</v>
      </c>
    </row>
    <row r="615" spans="1:8">
      <c r="A615" s="63" t="s">
        <v>281</v>
      </c>
    </row>
    <row r="616" spans="1:8">
      <c r="A616" s="63"/>
      <c r="E616" s="68" t="s">
        <v>61</v>
      </c>
      <c r="F616" s="68" t="s">
        <v>62</v>
      </c>
      <c r="G616" s="68" t="s">
        <v>63</v>
      </c>
      <c r="H616" s="68" t="s">
        <v>64</v>
      </c>
    </row>
    <row r="617" spans="1:8">
      <c r="A617" s="29" t="s">
        <v>282</v>
      </c>
      <c r="B617" s="82">
        <v>7</v>
      </c>
      <c r="C617" s="30" t="s">
        <v>66</v>
      </c>
      <c r="D617" s="9">
        <v>2650</v>
      </c>
      <c r="E617" s="29" t="s">
        <v>11</v>
      </c>
      <c r="F617" s="83">
        <f>B617*D617</f>
        <v>18550</v>
      </c>
      <c r="G617" s="9" t="s">
        <v>11</v>
      </c>
      <c r="H617" s="29" t="s">
        <v>11</v>
      </c>
    </row>
    <row r="618" spans="1:8">
      <c r="A618" s="29" t="s">
        <v>126</v>
      </c>
      <c r="B618" s="82">
        <v>1</v>
      </c>
      <c r="C618" s="30" t="s">
        <v>66</v>
      </c>
      <c r="D618" s="9">
        <v>500</v>
      </c>
      <c r="E618" s="29" t="s">
        <v>11</v>
      </c>
      <c r="F618" s="83">
        <f>B618*D618</f>
        <v>500</v>
      </c>
      <c r="G618" s="9" t="s">
        <v>11</v>
      </c>
      <c r="H618" s="29" t="s">
        <v>11</v>
      </c>
    </row>
    <row r="619" spans="1:8">
      <c r="A619" s="29" t="s">
        <v>68</v>
      </c>
      <c r="B619" s="87">
        <v>5.883E-2</v>
      </c>
      <c r="C619" s="30" t="s">
        <v>69</v>
      </c>
      <c r="D619" s="9">
        <v>170000</v>
      </c>
      <c r="E619" s="29" t="s">
        <v>11</v>
      </c>
      <c r="F619" s="83"/>
      <c r="G619" s="9">
        <f>B619*D619</f>
        <v>10001.1</v>
      </c>
      <c r="H619" s="29" t="s">
        <v>11</v>
      </c>
    </row>
    <row r="620" spans="1:8">
      <c r="A620" s="76" t="s">
        <v>70</v>
      </c>
      <c r="B620" s="85">
        <f>ROUND((SUM(E620:H620)),0)</f>
        <v>29051</v>
      </c>
      <c r="C620" s="78" t="s">
        <v>71</v>
      </c>
      <c r="D620" s="86"/>
      <c r="E620" s="80">
        <f>SUM(E617:E619)</f>
        <v>0</v>
      </c>
      <c r="F620" s="80">
        <f>SUM(F617:F619)</f>
        <v>19050</v>
      </c>
      <c r="G620" s="80">
        <f>SUM(G617:G619)</f>
        <v>10001.1</v>
      </c>
      <c r="H620" s="80">
        <f>SUM(H617:H619)</f>
        <v>0</v>
      </c>
    </row>
    <row r="622" spans="1:8">
      <c r="A622" s="63" t="s">
        <v>283</v>
      </c>
    </row>
    <row r="623" spans="1:8">
      <c r="A623" s="63"/>
      <c r="E623" s="68" t="s">
        <v>61</v>
      </c>
      <c r="F623" s="68" t="s">
        <v>62</v>
      </c>
      <c r="G623" s="68" t="s">
        <v>63</v>
      </c>
      <c r="H623" s="68" t="s">
        <v>64</v>
      </c>
    </row>
    <row r="624" spans="1:8">
      <c r="A624" s="29" t="s">
        <v>282</v>
      </c>
      <c r="B624" s="82">
        <v>4</v>
      </c>
      <c r="C624" s="30" t="s">
        <v>66</v>
      </c>
      <c r="D624" s="9">
        <v>2650</v>
      </c>
      <c r="E624" s="29" t="s">
        <v>11</v>
      </c>
      <c r="F624" s="83">
        <f>B624*D624</f>
        <v>10600</v>
      </c>
      <c r="G624" s="9" t="s">
        <v>11</v>
      </c>
      <c r="H624" s="29" t="s">
        <v>11</v>
      </c>
    </row>
    <row r="625" spans="1:8">
      <c r="A625" s="29" t="s">
        <v>126</v>
      </c>
      <c r="B625" s="82">
        <v>1</v>
      </c>
      <c r="C625" s="30" t="s">
        <v>66</v>
      </c>
      <c r="D625" s="9">
        <v>500</v>
      </c>
      <c r="E625" s="29" t="s">
        <v>11</v>
      </c>
      <c r="F625" s="83">
        <f>B625*D625</f>
        <v>500</v>
      </c>
      <c r="G625" s="9" t="s">
        <v>11</v>
      </c>
      <c r="H625" s="29" t="s">
        <v>11</v>
      </c>
    </row>
    <row r="626" spans="1:8">
      <c r="A626" s="29" t="s">
        <v>68</v>
      </c>
      <c r="B626" s="87">
        <v>5.883E-2</v>
      </c>
      <c r="C626" s="30" t="s">
        <v>69</v>
      </c>
      <c r="D626" s="9">
        <v>170000</v>
      </c>
      <c r="E626" s="29" t="s">
        <v>11</v>
      </c>
      <c r="F626" s="83"/>
      <c r="G626" s="9">
        <f>B626*D626</f>
        <v>10001.1</v>
      </c>
      <c r="H626" s="29" t="s">
        <v>11</v>
      </c>
    </row>
    <row r="627" spans="1:8">
      <c r="A627" s="76" t="s">
        <v>70</v>
      </c>
      <c r="B627" s="85">
        <f>ROUND((SUM(E627:H627)),0)</f>
        <v>21101</v>
      </c>
      <c r="C627" s="78" t="s">
        <v>71</v>
      </c>
      <c r="D627" s="86"/>
      <c r="E627" s="80">
        <f>SUM(E624:E626)</f>
        <v>0</v>
      </c>
      <c r="F627" s="80">
        <f>SUM(F624:F626)</f>
        <v>11100</v>
      </c>
      <c r="G627" s="80">
        <f>SUM(G624:G626)</f>
        <v>10001.1</v>
      </c>
      <c r="H627" s="80">
        <f>SUM(H624:H626)</f>
        <v>0</v>
      </c>
    </row>
    <row r="629" spans="1:8">
      <c r="A629" s="63" t="s">
        <v>284</v>
      </c>
    </row>
    <row r="630" spans="1:8">
      <c r="A630" s="63"/>
      <c r="E630" s="68" t="s">
        <v>61</v>
      </c>
      <c r="F630" s="68" t="s">
        <v>62</v>
      </c>
      <c r="G630" s="68" t="s">
        <v>63</v>
      </c>
      <c r="H630" s="68" t="s">
        <v>64</v>
      </c>
    </row>
    <row r="631" spans="1:8">
      <c r="A631" s="29" t="s">
        <v>261</v>
      </c>
      <c r="B631" s="82">
        <v>3</v>
      </c>
      <c r="C631" s="30" t="s">
        <v>66</v>
      </c>
      <c r="D631" s="9">
        <v>2900</v>
      </c>
      <c r="E631" s="29" t="s">
        <v>11</v>
      </c>
      <c r="F631" s="83">
        <f>B631*D631</f>
        <v>8700</v>
      </c>
      <c r="G631" s="9" t="s">
        <v>11</v>
      </c>
      <c r="H631" s="29" t="s">
        <v>11</v>
      </c>
    </row>
    <row r="632" spans="1:8">
      <c r="A632" s="29" t="s">
        <v>126</v>
      </c>
      <c r="B632" s="82">
        <v>1</v>
      </c>
      <c r="C632" s="30" t="s">
        <v>66</v>
      </c>
      <c r="D632" s="9">
        <v>300</v>
      </c>
      <c r="E632" s="29" t="s">
        <v>11</v>
      </c>
      <c r="F632" s="83">
        <f>B632*D632</f>
        <v>300</v>
      </c>
      <c r="G632" s="9" t="s">
        <v>11</v>
      </c>
      <c r="H632" s="29" t="s">
        <v>11</v>
      </c>
    </row>
    <row r="633" spans="1:8">
      <c r="A633" s="29" t="s">
        <v>68</v>
      </c>
      <c r="B633" s="87">
        <v>3.2399999999999998E-2</v>
      </c>
      <c r="C633" s="30" t="s">
        <v>69</v>
      </c>
      <c r="D633" s="9">
        <v>170000</v>
      </c>
      <c r="E633" s="29" t="s">
        <v>11</v>
      </c>
      <c r="F633" s="83"/>
      <c r="G633" s="9">
        <f>B633*D633</f>
        <v>5508</v>
      </c>
      <c r="H633" s="29" t="s">
        <v>11</v>
      </c>
    </row>
    <row r="634" spans="1:8">
      <c r="A634" s="76" t="s">
        <v>70</v>
      </c>
      <c r="B634" s="85">
        <f>ROUND((SUM(E634:H634)),0)</f>
        <v>14508</v>
      </c>
      <c r="C634" s="78" t="s">
        <v>71</v>
      </c>
      <c r="D634" s="86"/>
      <c r="E634" s="80">
        <f>SUM(E631:E633)</f>
        <v>0</v>
      </c>
      <c r="F634" s="80">
        <f>SUM(F631:F633)</f>
        <v>9000</v>
      </c>
      <c r="G634" s="80">
        <f>SUM(G631:G633)</f>
        <v>5508</v>
      </c>
      <c r="H634" s="80">
        <f>SUM(H631:H633)</f>
        <v>0</v>
      </c>
    </row>
    <row r="636" spans="1:8">
      <c r="A636" s="63" t="s">
        <v>285</v>
      </c>
    </row>
    <row r="637" spans="1:8">
      <c r="A637" s="63"/>
      <c r="E637" s="68" t="s">
        <v>61</v>
      </c>
      <c r="F637" s="68" t="s">
        <v>62</v>
      </c>
      <c r="G637" s="68" t="s">
        <v>63</v>
      </c>
      <c r="H637" s="68" t="s">
        <v>64</v>
      </c>
    </row>
    <row r="638" spans="1:8">
      <c r="A638" s="29" t="s">
        <v>186</v>
      </c>
      <c r="B638" s="82">
        <v>1</v>
      </c>
      <c r="C638" s="30" t="s">
        <v>66</v>
      </c>
      <c r="D638" s="9">
        <v>1200</v>
      </c>
      <c r="E638" s="29" t="s">
        <v>11</v>
      </c>
      <c r="F638" s="83">
        <f>B638*D638</f>
        <v>1200</v>
      </c>
      <c r="G638" s="9" t="s">
        <v>11</v>
      </c>
      <c r="H638" s="29" t="s">
        <v>11</v>
      </c>
    </row>
    <row r="639" spans="1:8">
      <c r="A639" s="29" t="s">
        <v>126</v>
      </c>
      <c r="B639" s="82">
        <v>1</v>
      </c>
      <c r="C639" s="30" t="s">
        <v>66</v>
      </c>
      <c r="D639" s="9">
        <v>200</v>
      </c>
      <c r="E639" s="29" t="s">
        <v>11</v>
      </c>
      <c r="F639" s="83">
        <f>B639*D639</f>
        <v>200</v>
      </c>
      <c r="G639" s="9" t="s">
        <v>11</v>
      </c>
      <c r="H639" s="29" t="s">
        <v>11</v>
      </c>
    </row>
    <row r="640" spans="1:8">
      <c r="A640" s="29" t="s">
        <v>68</v>
      </c>
      <c r="B640" s="91">
        <v>5.8999999999999999E-3</v>
      </c>
      <c r="C640" s="30" t="s">
        <v>69</v>
      </c>
      <c r="D640" s="9">
        <v>170000</v>
      </c>
      <c r="E640" s="29" t="s">
        <v>11</v>
      </c>
      <c r="F640" s="83"/>
      <c r="G640" s="9">
        <f>B640*D640</f>
        <v>1003</v>
      </c>
      <c r="H640" s="29" t="s">
        <v>11</v>
      </c>
    </row>
    <row r="641" spans="1:8">
      <c r="A641" s="76" t="s">
        <v>70</v>
      </c>
      <c r="B641" s="85">
        <f>ROUND((SUM(E641:H641)),0)</f>
        <v>2403</v>
      </c>
      <c r="C641" s="78" t="s">
        <v>71</v>
      </c>
      <c r="D641" s="86"/>
      <c r="E641" s="80">
        <f>SUM(E638:E640)</f>
        <v>0</v>
      </c>
      <c r="F641" s="80">
        <f>SUM(F638:F640)</f>
        <v>1400</v>
      </c>
      <c r="G641" s="80">
        <f>SUM(G638:G640)</f>
        <v>1003</v>
      </c>
      <c r="H641" s="80">
        <f>SUM(H638:H640)</f>
        <v>0</v>
      </c>
    </row>
    <row r="643" spans="1:8">
      <c r="A643" s="63" t="s">
        <v>286</v>
      </c>
    </row>
    <row r="644" spans="1:8">
      <c r="A644" s="63"/>
      <c r="E644" s="68" t="s">
        <v>61</v>
      </c>
      <c r="F644" s="68" t="s">
        <v>62</v>
      </c>
      <c r="G644" s="68" t="s">
        <v>63</v>
      </c>
      <c r="H644" s="68" t="s">
        <v>64</v>
      </c>
    </row>
    <row r="645" spans="1:8">
      <c r="A645" s="29" t="s">
        <v>282</v>
      </c>
      <c r="B645" s="82">
        <v>2</v>
      </c>
      <c r="C645" s="30" t="s">
        <v>66</v>
      </c>
      <c r="D645" s="9">
        <v>2650</v>
      </c>
      <c r="E645" s="29" t="s">
        <v>11</v>
      </c>
      <c r="F645" s="83">
        <f>B645*D645</f>
        <v>5300</v>
      </c>
      <c r="G645" s="9" t="s">
        <v>11</v>
      </c>
      <c r="H645" s="29" t="s">
        <v>11</v>
      </c>
    </row>
    <row r="646" spans="1:8">
      <c r="A646" s="29" t="s">
        <v>126</v>
      </c>
      <c r="B646" s="82">
        <v>1</v>
      </c>
      <c r="C646" s="30" t="s">
        <v>75</v>
      </c>
      <c r="D646" s="9">
        <v>300</v>
      </c>
      <c r="E646" s="29" t="s">
        <v>11</v>
      </c>
      <c r="F646" s="83">
        <f>B646*D646</f>
        <v>300</v>
      </c>
      <c r="G646" s="9" t="s">
        <v>11</v>
      </c>
      <c r="H646" s="29" t="s">
        <v>11</v>
      </c>
    </row>
    <row r="647" spans="1:8">
      <c r="A647" s="29" t="s">
        <v>68</v>
      </c>
      <c r="B647" s="91">
        <v>2.3599999999999999E-2</v>
      </c>
      <c r="C647" s="30" t="s">
        <v>69</v>
      </c>
      <c r="D647" s="9">
        <v>170000</v>
      </c>
      <c r="E647" s="29" t="s">
        <v>11</v>
      </c>
      <c r="F647" s="83"/>
      <c r="G647" s="9">
        <f>B647*D647</f>
        <v>4012</v>
      </c>
      <c r="H647" s="29" t="s">
        <v>11</v>
      </c>
    </row>
    <row r="648" spans="1:8">
      <c r="A648" s="76" t="s">
        <v>70</v>
      </c>
      <c r="B648" s="85">
        <f>ROUND((SUM(E648:H648)),0)</f>
        <v>9612</v>
      </c>
      <c r="C648" s="78" t="s">
        <v>71</v>
      </c>
      <c r="D648" s="86"/>
      <c r="E648" s="80">
        <f>SUM(E645:E647)</f>
        <v>0</v>
      </c>
      <c r="F648" s="80">
        <f>SUM(F645:F647)</f>
        <v>5600</v>
      </c>
      <c r="G648" s="80">
        <f>SUM(G645:G647)</f>
        <v>4012</v>
      </c>
      <c r="H648" s="80">
        <f>SUM(H645:H647)</f>
        <v>0</v>
      </c>
    </row>
    <row r="650" spans="1:8" s="50" customFormat="1">
      <c r="A650" s="63" t="s">
        <v>287</v>
      </c>
      <c r="B650" s="64"/>
      <c r="C650" s="65"/>
      <c r="D650" s="66"/>
      <c r="E650" s="64"/>
      <c r="F650" s="64"/>
      <c r="G650" s="64"/>
      <c r="H650" s="64"/>
    </row>
    <row r="651" spans="1:8" s="50" customFormat="1">
      <c r="A651" s="63"/>
      <c r="B651" s="64"/>
      <c r="C651" s="65"/>
      <c r="D651" s="66"/>
      <c r="E651" s="68" t="s">
        <v>61</v>
      </c>
      <c r="F651" s="68" t="s">
        <v>62</v>
      </c>
      <c r="G651" s="68" t="s">
        <v>63</v>
      </c>
      <c r="H651" s="68" t="s">
        <v>64</v>
      </c>
    </row>
    <row r="652" spans="1:8" s="50" customFormat="1">
      <c r="A652" s="6" t="s">
        <v>288</v>
      </c>
      <c r="B652" s="115">
        <v>1</v>
      </c>
      <c r="C652" s="27" t="s">
        <v>49</v>
      </c>
      <c r="D652" s="8">
        <v>250000</v>
      </c>
      <c r="E652" s="6" t="s">
        <v>11</v>
      </c>
      <c r="F652" s="6">
        <f>B652*D652</f>
        <v>250000</v>
      </c>
      <c r="G652" s="8" t="s">
        <v>11</v>
      </c>
      <c r="H652" s="127"/>
    </row>
    <row r="653" spans="1:8">
      <c r="A653" s="29" t="s">
        <v>68</v>
      </c>
      <c r="B653" s="84">
        <v>0.3</v>
      </c>
      <c r="C653" s="30" t="s">
        <v>69</v>
      </c>
      <c r="D653" s="9">
        <v>170000</v>
      </c>
      <c r="E653" s="29" t="s">
        <v>11</v>
      </c>
      <c r="F653" s="83"/>
      <c r="G653" s="9">
        <f>B653*D653</f>
        <v>51000</v>
      </c>
      <c r="H653" s="29" t="s">
        <v>11</v>
      </c>
    </row>
    <row r="654" spans="1:8" s="50" customFormat="1">
      <c r="A654" s="129" t="s">
        <v>70</v>
      </c>
      <c r="B654" s="85">
        <f>ROUND((SUM(E654:H654)),0)</f>
        <v>301000</v>
      </c>
      <c r="C654" s="130" t="s">
        <v>73</v>
      </c>
      <c r="D654" s="131"/>
      <c r="E654" s="132">
        <f>SUM(E652:E652)</f>
        <v>0</v>
      </c>
      <c r="F654" s="132">
        <f>SUM(F652:F652)</f>
        <v>250000</v>
      </c>
      <c r="G654" s="132">
        <f>SUM(G653)</f>
        <v>51000</v>
      </c>
      <c r="H654" s="132">
        <f>SUM(H652:H652)</f>
        <v>0</v>
      </c>
    </row>
    <row r="656" spans="1:8" s="50" customFormat="1">
      <c r="A656" s="63" t="s">
        <v>289</v>
      </c>
      <c r="B656" s="64"/>
      <c r="C656" s="65"/>
      <c r="D656" s="66"/>
      <c r="E656" s="64"/>
      <c r="F656" s="64"/>
      <c r="G656" s="64"/>
      <c r="H656" s="64"/>
    </row>
    <row r="657" spans="1:8" s="50" customFormat="1">
      <c r="A657" s="63"/>
      <c r="B657" s="64"/>
      <c r="C657" s="65"/>
      <c r="D657" s="66"/>
      <c r="E657" s="68" t="s">
        <v>61</v>
      </c>
      <c r="F657" s="68" t="s">
        <v>62</v>
      </c>
      <c r="G657" s="68" t="s">
        <v>63</v>
      </c>
      <c r="H657" s="68" t="s">
        <v>64</v>
      </c>
    </row>
    <row r="658" spans="1:8" s="50" customFormat="1">
      <c r="A658" s="6" t="s">
        <v>290</v>
      </c>
      <c r="B658" s="115">
        <v>1</v>
      </c>
      <c r="C658" s="27" t="s">
        <v>49</v>
      </c>
      <c r="D658" s="8">
        <v>60170</v>
      </c>
      <c r="E658" s="6" t="s">
        <v>11</v>
      </c>
      <c r="F658" s="6">
        <f>B658*D658</f>
        <v>60170</v>
      </c>
      <c r="G658" s="8" t="s">
        <v>11</v>
      </c>
      <c r="H658" s="127"/>
    </row>
    <row r="659" spans="1:8">
      <c r="A659" s="29" t="s">
        <v>68</v>
      </c>
      <c r="B659" s="91">
        <v>0.2059</v>
      </c>
      <c r="C659" s="30" t="s">
        <v>69</v>
      </c>
      <c r="D659" s="9">
        <v>170000</v>
      </c>
      <c r="E659" s="29" t="s">
        <v>11</v>
      </c>
      <c r="F659" s="83"/>
      <c r="G659" s="9">
        <f>B659*D659</f>
        <v>35003</v>
      </c>
      <c r="H659" s="29" t="s">
        <v>11</v>
      </c>
    </row>
    <row r="660" spans="1:8" s="50" customFormat="1">
      <c r="A660" s="129" t="s">
        <v>70</v>
      </c>
      <c r="B660" s="85">
        <f>ROUND((SUM(E660:H660)),0)</f>
        <v>95173</v>
      </c>
      <c r="C660" s="130" t="s">
        <v>73</v>
      </c>
      <c r="D660" s="131"/>
      <c r="E660" s="132">
        <f>SUM(E658:E658)</f>
        <v>0</v>
      </c>
      <c r="F660" s="132">
        <f>SUM(F658:F658)</f>
        <v>60170</v>
      </c>
      <c r="G660" s="132">
        <f>SUM(G659)</f>
        <v>35003</v>
      </c>
      <c r="H660" s="132">
        <f>SUM(H658:H658)</f>
        <v>0</v>
      </c>
    </row>
    <row r="662" spans="1:8" s="50" customFormat="1">
      <c r="A662" s="63" t="s">
        <v>291</v>
      </c>
      <c r="B662" s="64"/>
      <c r="C662" s="65"/>
      <c r="D662" s="66"/>
      <c r="E662" s="64"/>
      <c r="F662" s="64"/>
      <c r="G662" s="64"/>
      <c r="H662" s="64"/>
    </row>
    <row r="663" spans="1:8" s="50" customFormat="1">
      <c r="A663" s="63"/>
      <c r="B663" s="64"/>
      <c r="C663" s="65"/>
      <c r="D663" s="66"/>
      <c r="E663" s="68" t="s">
        <v>61</v>
      </c>
      <c r="F663" s="68" t="s">
        <v>62</v>
      </c>
      <c r="G663" s="68" t="s">
        <v>63</v>
      </c>
      <c r="H663" s="68" t="s">
        <v>64</v>
      </c>
    </row>
    <row r="664" spans="1:8" s="50" customFormat="1">
      <c r="A664" s="6" t="s">
        <v>292</v>
      </c>
      <c r="B664" s="115">
        <v>1</v>
      </c>
      <c r="C664" s="27" t="s">
        <v>49</v>
      </c>
      <c r="D664" s="8">
        <v>45000</v>
      </c>
      <c r="E664" s="6" t="s">
        <v>11</v>
      </c>
      <c r="F664" s="6">
        <f>B664*D664</f>
        <v>45000</v>
      </c>
      <c r="G664" s="8" t="s">
        <v>11</v>
      </c>
      <c r="H664" s="127"/>
    </row>
    <row r="665" spans="1:8">
      <c r="A665" s="29" t="s">
        <v>68</v>
      </c>
      <c r="B665" s="87">
        <v>0.1176</v>
      </c>
      <c r="C665" s="30" t="s">
        <v>69</v>
      </c>
      <c r="D665" s="9">
        <v>170000</v>
      </c>
      <c r="E665" s="29" t="s">
        <v>11</v>
      </c>
      <c r="F665" s="83"/>
      <c r="G665" s="9">
        <f>B665*D665</f>
        <v>19992</v>
      </c>
      <c r="H665" s="29" t="s">
        <v>11</v>
      </c>
    </row>
    <row r="666" spans="1:8" s="50" customFormat="1">
      <c r="A666" s="129" t="s">
        <v>70</v>
      </c>
      <c r="B666" s="85">
        <f>ROUND((SUM(E666:H666)),0)</f>
        <v>64992</v>
      </c>
      <c r="C666" s="130" t="s">
        <v>73</v>
      </c>
      <c r="D666" s="131"/>
      <c r="E666" s="132">
        <f>SUM(E664:E664)</f>
        <v>0</v>
      </c>
      <c r="F666" s="132">
        <f>SUM(F664:F664)</f>
        <v>45000</v>
      </c>
      <c r="G666" s="132">
        <f>SUM(G665)</f>
        <v>19992</v>
      </c>
      <c r="H666" s="132">
        <f>SUM(H664:H664)</f>
        <v>0</v>
      </c>
    </row>
    <row r="668" spans="1:8">
      <c r="A668" s="63" t="s">
        <v>293</v>
      </c>
    </row>
    <row r="669" spans="1:8">
      <c r="A669" s="63"/>
      <c r="E669" s="68" t="s">
        <v>61</v>
      </c>
      <c r="F669" s="68" t="s">
        <v>62</v>
      </c>
      <c r="G669" s="68" t="s">
        <v>63</v>
      </c>
      <c r="H669" s="68" t="s">
        <v>64</v>
      </c>
    </row>
    <row r="670" spans="1:8" s="121" customFormat="1" ht="14.25">
      <c r="A670" s="29" t="s">
        <v>294</v>
      </c>
      <c r="B670" s="82">
        <v>1</v>
      </c>
      <c r="C670" s="30" t="s">
        <v>8</v>
      </c>
      <c r="D670" s="9">
        <v>2000000</v>
      </c>
      <c r="E670" s="29" t="s">
        <v>11</v>
      </c>
      <c r="F670" s="83"/>
      <c r="G670" s="9" t="s">
        <v>11</v>
      </c>
      <c r="H670" s="29">
        <f>B670*D670</f>
        <v>2000000</v>
      </c>
    </row>
    <row r="671" spans="1:8">
      <c r="A671" s="76" t="s">
        <v>70</v>
      </c>
      <c r="B671" s="85">
        <f>ROUND((SUM(E671:H671)),0)</f>
        <v>2000000</v>
      </c>
      <c r="C671" s="78" t="s">
        <v>73</v>
      </c>
      <c r="D671" s="86"/>
      <c r="E671" s="80">
        <f>SUM(E670:E670)</f>
        <v>0</v>
      </c>
      <c r="F671" s="80">
        <f>SUM(F670:F670)</f>
        <v>0</v>
      </c>
      <c r="G671" s="80">
        <f>SUM(G670:G670)</f>
        <v>0</v>
      </c>
      <c r="H671" s="80">
        <f>SUM(H670:H670)</f>
        <v>2000000</v>
      </c>
    </row>
    <row r="673" spans="1:8">
      <c r="A673" s="63" t="s">
        <v>543</v>
      </c>
    </row>
    <row r="674" spans="1:8">
      <c r="A674" s="63"/>
      <c r="E674" s="68" t="s">
        <v>61</v>
      </c>
      <c r="F674" s="68" t="s">
        <v>62</v>
      </c>
      <c r="G674" s="68" t="s">
        <v>63</v>
      </c>
      <c r="H674" s="68" t="s">
        <v>64</v>
      </c>
    </row>
    <row r="675" spans="1:8">
      <c r="A675" s="29" t="s">
        <v>544</v>
      </c>
      <c r="B675" s="82">
        <v>1</v>
      </c>
      <c r="C675" s="30" t="s">
        <v>49</v>
      </c>
      <c r="D675" s="9">
        <v>290500</v>
      </c>
      <c r="E675" s="29" t="s">
        <v>11</v>
      </c>
      <c r="F675" s="83">
        <f>B675*D675</f>
        <v>290500</v>
      </c>
      <c r="G675" s="9" t="s">
        <v>11</v>
      </c>
      <c r="H675" s="29" t="s">
        <v>11</v>
      </c>
    </row>
    <row r="676" spans="1:8">
      <c r="A676" s="29" t="s">
        <v>68</v>
      </c>
      <c r="B676" s="91">
        <v>0.47058800000000001</v>
      </c>
      <c r="C676" s="30" t="s">
        <v>69</v>
      </c>
      <c r="D676" s="9">
        <v>170000</v>
      </c>
      <c r="E676" s="29" t="s">
        <v>11</v>
      </c>
      <c r="F676" s="29" t="s">
        <v>11</v>
      </c>
      <c r="G676" s="9">
        <f>B676*D676</f>
        <v>79999.960000000006</v>
      </c>
      <c r="H676" s="29" t="s">
        <v>11</v>
      </c>
    </row>
    <row r="677" spans="1:8">
      <c r="A677" s="76" t="s">
        <v>70</v>
      </c>
      <c r="B677" s="85">
        <f>ROUND((SUM(E677:H677)),0)</f>
        <v>370500</v>
      </c>
      <c r="C677" s="78" t="s">
        <v>73</v>
      </c>
      <c r="D677" s="86"/>
      <c r="E677" s="80">
        <f>SUM(E675:E676)</f>
        <v>0</v>
      </c>
      <c r="F677" s="80">
        <f>SUM(F675:F676)</f>
        <v>290500</v>
      </c>
      <c r="G677" s="80">
        <f>SUM(G675:G676)</f>
        <v>79999.960000000006</v>
      </c>
      <c r="H677" s="80">
        <f>SUM(H675:H676)</f>
        <v>0</v>
      </c>
    </row>
  </sheetData>
  <pageMargins left="0.74803149606299213" right="0.74803149606299213" top="0.98425196850393704" bottom="0.98425196850393704" header="0.51181102362204722" footer="0.51181102362204722"/>
  <pageSetup paperSize="122" scale="75" orientation="portrait" horizontalDpi="300" verticalDpi="300" r:id="rId1"/>
  <headerFooter>
    <oddHeader>&amp;L&amp;"Arial,Negrita"ANALISIS DE PRECIOS UNITARIOS
CONJUNTO SAUKARA - CFC &amp; A.</oddHeader>
    <oddFooter>&amp;C&amp;P de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7" tint="-0.249977111117893"/>
  </sheetPr>
  <dimension ref="A1:H792"/>
  <sheetViews>
    <sheetView topLeftCell="A45" workbookViewId="0">
      <selection activeCell="A54" sqref="A54:XFD64"/>
    </sheetView>
  </sheetViews>
  <sheetFormatPr baseColWidth="10" defaultRowHeight="12.75"/>
  <cols>
    <col min="1" max="1" width="40.125" style="64" customWidth="1"/>
    <col min="2" max="2" width="10.625" style="64" customWidth="1"/>
    <col min="3" max="3" width="6.25" style="65" customWidth="1"/>
    <col min="4" max="4" width="8.875" style="66" customWidth="1"/>
    <col min="5" max="5" width="9.75" style="64" customWidth="1"/>
    <col min="6" max="6" width="9.375" style="64" customWidth="1"/>
    <col min="7" max="7" width="8.875" style="64" customWidth="1"/>
    <col min="8" max="8" width="9.75" style="64" customWidth="1"/>
    <col min="9" max="16384" width="11" style="4"/>
  </cols>
  <sheetData>
    <row r="1" spans="1:8" hidden="1">
      <c r="A1" s="63" t="s">
        <v>103</v>
      </c>
      <c r="B1" s="113"/>
      <c r="C1" s="114"/>
      <c r="D1" s="114"/>
      <c r="E1" s="68" t="s">
        <v>61</v>
      </c>
      <c r="F1" s="68" t="s">
        <v>62</v>
      </c>
      <c r="G1" s="68" t="s">
        <v>63</v>
      </c>
      <c r="H1" s="68" t="s">
        <v>64</v>
      </c>
    </row>
    <row r="2" spans="1:8" hidden="1">
      <c r="A2" s="6" t="s">
        <v>104</v>
      </c>
      <c r="B2" s="115">
        <v>1</v>
      </c>
      <c r="C2" s="27" t="s">
        <v>49</v>
      </c>
      <c r="D2" s="8">
        <v>85000</v>
      </c>
      <c r="E2" s="8" t="s">
        <v>11</v>
      </c>
      <c r="F2" s="8">
        <f t="shared" ref="F2:F13" si="0">B2*D2</f>
        <v>85000</v>
      </c>
      <c r="G2" s="8" t="s">
        <v>11</v>
      </c>
      <c r="H2" s="8" t="s">
        <v>11</v>
      </c>
    </row>
    <row r="3" spans="1:8" hidden="1">
      <c r="A3" s="6" t="s">
        <v>105</v>
      </c>
      <c r="B3" s="115">
        <v>2</v>
      </c>
      <c r="C3" s="27" t="s">
        <v>49</v>
      </c>
      <c r="D3" s="8">
        <v>12500</v>
      </c>
      <c r="E3" s="8" t="s">
        <v>11</v>
      </c>
      <c r="F3" s="8">
        <f t="shared" si="0"/>
        <v>25000</v>
      </c>
      <c r="G3" s="8" t="s">
        <v>11</v>
      </c>
      <c r="H3" s="8" t="s">
        <v>11</v>
      </c>
    </row>
    <row r="4" spans="1:8" hidden="1">
      <c r="A4" s="6" t="s">
        <v>106</v>
      </c>
      <c r="B4" s="115">
        <v>1</v>
      </c>
      <c r="C4" s="27" t="s">
        <v>49</v>
      </c>
      <c r="D4" s="8">
        <v>7500</v>
      </c>
      <c r="E4" s="8" t="s">
        <v>11</v>
      </c>
      <c r="F4" s="8">
        <f t="shared" si="0"/>
        <v>7500</v>
      </c>
      <c r="G4" s="8" t="s">
        <v>11</v>
      </c>
      <c r="H4" s="8" t="s">
        <v>11</v>
      </c>
    </row>
    <row r="5" spans="1:8" hidden="1">
      <c r="A5" s="6" t="s">
        <v>107</v>
      </c>
      <c r="B5" s="115">
        <v>1</v>
      </c>
      <c r="C5" s="27" t="s">
        <v>49</v>
      </c>
      <c r="D5" s="8">
        <v>3200</v>
      </c>
      <c r="E5" s="8" t="s">
        <v>11</v>
      </c>
      <c r="F5" s="8">
        <f t="shared" si="0"/>
        <v>3200</v>
      </c>
      <c r="G5" s="8" t="s">
        <v>11</v>
      </c>
      <c r="H5" s="8" t="s">
        <v>11</v>
      </c>
    </row>
    <row r="6" spans="1:8" hidden="1">
      <c r="A6" s="6" t="s">
        <v>108</v>
      </c>
      <c r="B6" s="115">
        <v>3</v>
      </c>
      <c r="C6" s="27" t="s">
        <v>49</v>
      </c>
      <c r="D6" s="8">
        <v>105000</v>
      </c>
      <c r="E6" s="8" t="s">
        <v>11</v>
      </c>
      <c r="F6" s="8">
        <f t="shared" si="0"/>
        <v>315000</v>
      </c>
      <c r="G6" s="8" t="s">
        <v>11</v>
      </c>
      <c r="H6" s="8" t="s">
        <v>11</v>
      </c>
    </row>
    <row r="7" spans="1:8" hidden="1">
      <c r="A7" s="6" t="s">
        <v>109</v>
      </c>
      <c r="B7" s="115">
        <v>3</v>
      </c>
      <c r="C7" s="27" t="s">
        <v>49</v>
      </c>
      <c r="D7" s="8">
        <v>50000</v>
      </c>
      <c r="E7" s="8" t="s">
        <v>11</v>
      </c>
      <c r="F7" s="8">
        <f t="shared" si="0"/>
        <v>150000</v>
      </c>
      <c r="G7" s="8" t="s">
        <v>11</v>
      </c>
      <c r="H7" s="8" t="s">
        <v>11</v>
      </c>
    </row>
    <row r="8" spans="1:8" hidden="1">
      <c r="A8" s="6" t="s">
        <v>110</v>
      </c>
      <c r="B8" s="115">
        <v>3</v>
      </c>
      <c r="C8" s="27" t="s">
        <v>49</v>
      </c>
      <c r="D8" s="8">
        <v>3500</v>
      </c>
      <c r="E8" s="8" t="s">
        <v>11</v>
      </c>
      <c r="F8" s="8">
        <f t="shared" si="0"/>
        <v>10500</v>
      </c>
      <c r="G8" s="8" t="s">
        <v>11</v>
      </c>
      <c r="H8" s="8" t="s">
        <v>11</v>
      </c>
    </row>
    <row r="9" spans="1:8" hidden="1">
      <c r="A9" s="6" t="s">
        <v>111</v>
      </c>
      <c r="B9" s="115">
        <v>3</v>
      </c>
      <c r="C9" s="27" t="s">
        <v>49</v>
      </c>
      <c r="D9" s="8">
        <v>35000</v>
      </c>
      <c r="E9" s="8" t="s">
        <v>11</v>
      </c>
      <c r="F9" s="8">
        <f t="shared" si="0"/>
        <v>105000</v>
      </c>
      <c r="G9" s="8" t="s">
        <v>11</v>
      </c>
      <c r="H9" s="8" t="s">
        <v>11</v>
      </c>
    </row>
    <row r="10" spans="1:8" hidden="1">
      <c r="A10" s="6" t="s">
        <v>112</v>
      </c>
      <c r="B10" s="115">
        <v>3</v>
      </c>
      <c r="C10" s="27" t="s">
        <v>49</v>
      </c>
      <c r="D10" s="8">
        <v>23500</v>
      </c>
      <c r="E10" s="8" t="s">
        <v>11</v>
      </c>
      <c r="F10" s="8">
        <f t="shared" si="0"/>
        <v>70500</v>
      </c>
      <c r="G10" s="8" t="s">
        <v>11</v>
      </c>
      <c r="H10" s="8" t="s">
        <v>11</v>
      </c>
    </row>
    <row r="11" spans="1:8" hidden="1">
      <c r="A11" s="6" t="s">
        <v>113</v>
      </c>
      <c r="B11" s="115">
        <v>15</v>
      </c>
      <c r="C11" s="27" t="s">
        <v>66</v>
      </c>
      <c r="D11" s="8">
        <v>9116</v>
      </c>
      <c r="E11" s="8" t="s">
        <v>11</v>
      </c>
      <c r="F11" s="8">
        <f t="shared" si="0"/>
        <v>136740</v>
      </c>
      <c r="G11" s="8" t="s">
        <v>11</v>
      </c>
      <c r="H11" s="8" t="s">
        <v>11</v>
      </c>
    </row>
    <row r="12" spans="1:8" hidden="1">
      <c r="A12" s="6" t="s">
        <v>114</v>
      </c>
      <c r="B12" s="115">
        <v>4</v>
      </c>
      <c r="C12" s="27" t="s">
        <v>49</v>
      </c>
      <c r="D12" s="8">
        <v>280</v>
      </c>
      <c r="E12" s="8" t="s">
        <v>11</v>
      </c>
      <c r="F12" s="8">
        <f t="shared" si="0"/>
        <v>1120</v>
      </c>
      <c r="G12" s="8" t="s">
        <v>11</v>
      </c>
      <c r="H12" s="8" t="s">
        <v>11</v>
      </c>
    </row>
    <row r="13" spans="1:8" hidden="1">
      <c r="A13" s="6" t="s">
        <v>115</v>
      </c>
      <c r="B13" s="115">
        <v>4</v>
      </c>
      <c r="C13" s="27" t="s">
        <v>49</v>
      </c>
      <c r="D13" s="8">
        <v>250</v>
      </c>
      <c r="E13" s="8" t="s">
        <v>11</v>
      </c>
      <c r="F13" s="8">
        <f t="shared" si="0"/>
        <v>1000</v>
      </c>
      <c r="G13" s="8" t="s">
        <v>11</v>
      </c>
      <c r="H13" s="8" t="s">
        <v>11</v>
      </c>
    </row>
    <row r="14" spans="1:8" hidden="1">
      <c r="A14" s="6" t="s">
        <v>116</v>
      </c>
      <c r="B14" s="115">
        <v>1</v>
      </c>
      <c r="C14" s="27" t="s">
        <v>117</v>
      </c>
      <c r="D14" s="8">
        <v>7000</v>
      </c>
      <c r="E14" s="8">
        <f>B14*D14</f>
        <v>7000</v>
      </c>
      <c r="F14" s="8" t="s">
        <v>11</v>
      </c>
      <c r="G14" s="8" t="s">
        <v>11</v>
      </c>
      <c r="H14" s="8" t="s">
        <v>11</v>
      </c>
    </row>
    <row r="15" spans="1:8" hidden="1">
      <c r="A15" s="6" t="s">
        <v>68</v>
      </c>
      <c r="B15" s="116">
        <v>0.4</v>
      </c>
      <c r="C15" s="27" t="s">
        <v>69</v>
      </c>
      <c r="D15" s="8">
        <v>170000</v>
      </c>
      <c r="E15" s="8" t="s">
        <v>11</v>
      </c>
      <c r="F15" s="8" t="s">
        <v>11</v>
      </c>
      <c r="G15" s="8">
        <f>B15*D15</f>
        <v>68000</v>
      </c>
      <c r="H15" s="8" t="s">
        <v>11</v>
      </c>
    </row>
    <row r="16" spans="1:8" hidden="1">
      <c r="A16" s="76" t="s">
        <v>70</v>
      </c>
      <c r="B16" s="85">
        <f>ROUND((SUM(E16:H16)),0)</f>
        <v>985560</v>
      </c>
      <c r="C16" s="78" t="s">
        <v>73</v>
      </c>
      <c r="D16" s="117"/>
      <c r="E16" s="8">
        <f>SUM(E2:E15)</f>
        <v>7000</v>
      </c>
      <c r="F16" s="8">
        <f>SUM(F2:F15)</f>
        <v>910560</v>
      </c>
      <c r="G16" s="8">
        <f>SUM(G2:G15)</f>
        <v>68000</v>
      </c>
      <c r="H16" s="8">
        <f>SUM(H2:H15)</f>
        <v>0</v>
      </c>
    </row>
    <row r="17" spans="1:8" hidden="1">
      <c r="A17" s="118"/>
      <c r="B17" s="113"/>
      <c r="C17" s="114"/>
      <c r="D17" s="119"/>
      <c r="E17" s="120"/>
      <c r="F17" s="120"/>
      <c r="G17" s="120"/>
      <c r="H17" s="120"/>
    </row>
    <row r="18" spans="1:8">
      <c r="A18" s="97" t="s">
        <v>295</v>
      </c>
      <c r="B18" s="98"/>
      <c r="C18" s="99"/>
      <c r="D18" s="100"/>
      <c r="E18" s="98"/>
      <c r="F18" s="98"/>
      <c r="G18" s="98"/>
      <c r="H18" s="98"/>
    </row>
    <row r="19" spans="1:8">
      <c r="A19" s="97"/>
      <c r="B19" s="98"/>
      <c r="C19" s="99"/>
      <c r="D19" s="100"/>
      <c r="E19" s="101" t="s">
        <v>61</v>
      </c>
      <c r="F19" s="101" t="s">
        <v>62</v>
      </c>
      <c r="G19" s="101" t="s">
        <v>63</v>
      </c>
      <c r="H19" s="101" t="s">
        <v>64</v>
      </c>
    </row>
    <row r="20" spans="1:8" s="121" customFormat="1" ht="14.25">
      <c r="A20" s="136" t="s">
        <v>296</v>
      </c>
      <c r="B20" s="103">
        <v>6</v>
      </c>
      <c r="C20" s="104" t="s">
        <v>66</v>
      </c>
      <c r="D20" s="105">
        <v>63000</v>
      </c>
      <c r="E20" s="102" t="s">
        <v>11</v>
      </c>
      <c r="F20" s="106">
        <f>B20*D20</f>
        <v>378000</v>
      </c>
      <c r="G20" s="105" t="s">
        <v>11</v>
      </c>
      <c r="H20" s="102" t="s">
        <v>11</v>
      </c>
    </row>
    <row r="21" spans="1:8" s="121" customFormat="1" ht="14.25">
      <c r="A21" s="136" t="s">
        <v>297</v>
      </c>
      <c r="B21" s="103">
        <v>1</v>
      </c>
      <c r="C21" s="104" t="s">
        <v>8</v>
      </c>
      <c r="D21" s="105">
        <v>17500</v>
      </c>
      <c r="E21" s="102" t="s">
        <v>11</v>
      </c>
      <c r="F21" s="106">
        <f>B21*D21</f>
        <v>17500</v>
      </c>
      <c r="G21" s="105" t="s">
        <v>11</v>
      </c>
      <c r="H21" s="102" t="s">
        <v>11</v>
      </c>
    </row>
    <row r="22" spans="1:8" s="121" customFormat="1" ht="14.25">
      <c r="A22" s="136" t="s">
        <v>86</v>
      </c>
      <c r="B22" s="103">
        <v>6</v>
      </c>
      <c r="C22" s="104" t="s">
        <v>66</v>
      </c>
      <c r="D22" s="105">
        <v>2800</v>
      </c>
      <c r="E22" s="102" t="s">
        <v>11</v>
      </c>
      <c r="F22" s="106">
        <f>B22*D22</f>
        <v>16800</v>
      </c>
      <c r="G22" s="105" t="s">
        <v>11</v>
      </c>
      <c r="H22" s="102" t="s">
        <v>11</v>
      </c>
    </row>
    <row r="23" spans="1:8" s="121" customFormat="1" ht="14.25">
      <c r="A23" s="136" t="s">
        <v>87</v>
      </c>
      <c r="B23" s="103">
        <v>12</v>
      </c>
      <c r="C23" s="104" t="s">
        <v>8</v>
      </c>
      <c r="D23" s="105">
        <v>700</v>
      </c>
      <c r="E23" s="102"/>
      <c r="F23" s="106">
        <f>B23*D23</f>
        <v>8400</v>
      </c>
      <c r="G23" s="105"/>
      <c r="H23" s="102"/>
    </row>
    <row r="24" spans="1:8" s="121" customFormat="1" ht="14.25">
      <c r="A24" s="136" t="s">
        <v>68</v>
      </c>
      <c r="B24" s="137">
        <v>0.15</v>
      </c>
      <c r="C24" s="104" t="s">
        <v>69</v>
      </c>
      <c r="D24" s="105">
        <v>170000</v>
      </c>
      <c r="E24" s="102" t="s">
        <v>11</v>
      </c>
      <c r="F24" s="102" t="s">
        <v>11</v>
      </c>
      <c r="G24" s="105">
        <f>B24*D24</f>
        <v>25500</v>
      </c>
      <c r="H24" s="102" t="s">
        <v>11</v>
      </c>
    </row>
    <row r="25" spans="1:8">
      <c r="A25" s="108" t="s">
        <v>70</v>
      </c>
      <c r="B25" s="109">
        <f>ROUND((SUM(E25:H25)),0)</f>
        <v>446200</v>
      </c>
      <c r="C25" s="110" t="s">
        <v>73</v>
      </c>
      <c r="D25" s="111"/>
      <c r="E25" s="112">
        <f>SUM(E20:E24)</f>
        <v>0</v>
      </c>
      <c r="F25" s="112">
        <f>SUM(F20:F24)</f>
        <v>420700</v>
      </c>
      <c r="G25" s="112">
        <f>SUM(G20:G24)</f>
        <v>25500</v>
      </c>
      <c r="H25" s="112">
        <f>SUM(H20:H24)</f>
        <v>0</v>
      </c>
    </row>
    <row r="26" spans="1:8">
      <c r="A26" s="122"/>
      <c r="B26" s="123"/>
      <c r="C26" s="124"/>
      <c r="D26" s="125"/>
      <c r="E26" s="126"/>
      <c r="F26" s="126"/>
      <c r="G26" s="126"/>
      <c r="H26" s="126"/>
    </row>
    <row r="27" spans="1:8" s="50" customFormat="1">
      <c r="A27" s="97" t="s">
        <v>298</v>
      </c>
      <c r="B27" s="98"/>
      <c r="C27" s="99"/>
      <c r="D27" s="100"/>
      <c r="E27" s="98"/>
      <c r="F27" s="98"/>
      <c r="G27" s="98"/>
      <c r="H27" s="98"/>
    </row>
    <row r="28" spans="1:8" s="50" customFormat="1">
      <c r="A28" s="97"/>
      <c r="B28" s="98"/>
      <c r="C28" s="99"/>
      <c r="D28" s="100"/>
      <c r="E28" s="101" t="s">
        <v>61</v>
      </c>
      <c r="F28" s="101" t="s">
        <v>62</v>
      </c>
      <c r="G28" s="101" t="s">
        <v>63</v>
      </c>
      <c r="H28" s="101" t="s">
        <v>64</v>
      </c>
    </row>
    <row r="29" spans="1:8" s="50" customFormat="1">
      <c r="A29" s="138" t="s">
        <v>299</v>
      </c>
      <c r="B29" s="139">
        <v>1</v>
      </c>
      <c r="C29" s="140" t="s">
        <v>49</v>
      </c>
      <c r="D29" s="141">
        <v>480590</v>
      </c>
      <c r="E29" s="138" t="s">
        <v>11</v>
      </c>
      <c r="F29" s="138">
        <f>B29*D29</f>
        <v>480590</v>
      </c>
      <c r="G29" s="141" t="s">
        <v>11</v>
      </c>
      <c r="H29" s="142"/>
    </row>
    <row r="30" spans="1:8" s="50" customFormat="1">
      <c r="A30" s="143" t="s">
        <v>70</v>
      </c>
      <c r="B30" s="109">
        <f>ROUND((SUM(E30:H30)),0)</f>
        <v>480590</v>
      </c>
      <c r="C30" s="144" t="s">
        <v>73</v>
      </c>
      <c r="D30" s="145"/>
      <c r="E30" s="146">
        <f>SUM(E29:E29)</f>
        <v>0</v>
      </c>
      <c r="F30" s="146">
        <f>SUM(F29:F29)</f>
        <v>480590</v>
      </c>
      <c r="G30" s="146">
        <f>SUM(G29:G29)</f>
        <v>0</v>
      </c>
      <c r="H30" s="146">
        <f>SUM(H29:H29)</f>
        <v>0</v>
      </c>
    </row>
    <row r="31" spans="1:8">
      <c r="A31" s="122"/>
      <c r="B31" s="123"/>
      <c r="C31" s="124"/>
      <c r="D31" s="125"/>
      <c r="E31" s="126"/>
      <c r="F31" s="126"/>
      <c r="G31" s="126"/>
      <c r="H31" s="126"/>
    </row>
    <row r="32" spans="1:8">
      <c r="A32" s="97" t="s">
        <v>300</v>
      </c>
      <c r="B32" s="98"/>
      <c r="C32" s="99"/>
      <c r="D32" s="100"/>
      <c r="E32" s="98"/>
      <c r="F32" s="98"/>
      <c r="G32" s="98"/>
      <c r="H32" s="98"/>
    </row>
    <row r="33" spans="1:8">
      <c r="A33" s="97"/>
      <c r="B33" s="98"/>
      <c r="C33" s="99"/>
      <c r="D33" s="100"/>
      <c r="E33" s="101" t="s">
        <v>61</v>
      </c>
      <c r="F33" s="101" t="s">
        <v>62</v>
      </c>
      <c r="G33" s="101" t="s">
        <v>63</v>
      </c>
      <c r="H33" s="101" t="s">
        <v>64</v>
      </c>
    </row>
    <row r="34" spans="1:8" s="121" customFormat="1" ht="14.25">
      <c r="A34" s="102" t="s">
        <v>149</v>
      </c>
      <c r="B34" s="103">
        <v>4</v>
      </c>
      <c r="C34" s="104" t="s">
        <v>66</v>
      </c>
      <c r="D34" s="105">
        <v>9500</v>
      </c>
      <c r="E34" s="102" t="s">
        <v>11</v>
      </c>
      <c r="F34" s="106">
        <f>B34*D34</f>
        <v>38000</v>
      </c>
      <c r="G34" s="105" t="s">
        <v>11</v>
      </c>
      <c r="H34" s="102" t="s">
        <v>11</v>
      </c>
    </row>
    <row r="35" spans="1:8" s="121" customFormat="1" ht="14.25">
      <c r="A35" s="136" t="s">
        <v>261</v>
      </c>
      <c r="B35" s="103">
        <v>2</v>
      </c>
      <c r="C35" s="104" t="s">
        <v>66</v>
      </c>
      <c r="D35" s="105">
        <v>4000</v>
      </c>
      <c r="E35" s="102" t="s">
        <v>11</v>
      </c>
      <c r="F35" s="106">
        <f>B35*D35</f>
        <v>8000</v>
      </c>
      <c r="G35" s="105" t="s">
        <v>11</v>
      </c>
      <c r="H35" s="102" t="s">
        <v>11</v>
      </c>
    </row>
    <row r="36" spans="1:8" s="121" customFormat="1" ht="14.25">
      <c r="A36" s="136" t="s">
        <v>68</v>
      </c>
      <c r="B36" s="147">
        <v>8.8234999999999994E-2</v>
      </c>
      <c r="C36" s="104" t="s">
        <v>69</v>
      </c>
      <c r="D36" s="105">
        <v>170000</v>
      </c>
      <c r="E36" s="102" t="s">
        <v>11</v>
      </c>
      <c r="F36" s="102" t="s">
        <v>11</v>
      </c>
      <c r="G36" s="105">
        <f>B36*D36</f>
        <v>14999.949999999999</v>
      </c>
      <c r="H36" s="102" t="s">
        <v>11</v>
      </c>
    </row>
    <row r="37" spans="1:8">
      <c r="A37" s="108" t="s">
        <v>70</v>
      </c>
      <c r="B37" s="109">
        <f>ROUND((SUM(E37:H37)),0)</f>
        <v>61000</v>
      </c>
      <c r="C37" s="110" t="s">
        <v>71</v>
      </c>
      <c r="D37" s="111"/>
      <c r="E37" s="112">
        <f>SUM(E34:E36)</f>
        <v>0</v>
      </c>
      <c r="F37" s="112">
        <f>SUM(F34:F36)</f>
        <v>46000</v>
      </c>
      <c r="G37" s="112">
        <f>SUM(G34:G36)</f>
        <v>14999.949999999999</v>
      </c>
      <c r="H37" s="112">
        <f>SUM(H34:H36)</f>
        <v>0</v>
      </c>
    </row>
    <row r="38" spans="1:8">
      <c r="A38" s="122"/>
      <c r="B38" s="123"/>
      <c r="C38" s="124"/>
      <c r="D38" s="125"/>
      <c r="E38" s="126"/>
      <c r="F38" s="126"/>
      <c r="G38" s="126"/>
      <c r="H38" s="126"/>
    </row>
    <row r="39" spans="1:8">
      <c r="A39" s="97" t="s">
        <v>301</v>
      </c>
      <c r="B39" s="98"/>
      <c r="C39" s="99"/>
      <c r="D39" s="100"/>
      <c r="E39" s="98"/>
      <c r="F39" s="98"/>
      <c r="G39" s="98"/>
      <c r="H39" s="98"/>
    </row>
    <row r="40" spans="1:8">
      <c r="A40" s="97"/>
      <c r="B40" s="98"/>
      <c r="C40" s="99"/>
      <c r="D40" s="100"/>
      <c r="E40" s="101" t="s">
        <v>61</v>
      </c>
      <c r="F40" s="101" t="s">
        <v>62</v>
      </c>
      <c r="G40" s="101" t="s">
        <v>63</v>
      </c>
      <c r="H40" s="101" t="s">
        <v>64</v>
      </c>
    </row>
    <row r="41" spans="1:8">
      <c r="A41" s="102" t="s">
        <v>65</v>
      </c>
      <c r="B41" s="103">
        <v>4</v>
      </c>
      <c r="C41" s="104" t="s">
        <v>66</v>
      </c>
      <c r="D41" s="105">
        <v>14575</v>
      </c>
      <c r="E41" s="102" t="s">
        <v>11</v>
      </c>
      <c r="F41" s="106">
        <f>B41*D41</f>
        <v>58300</v>
      </c>
      <c r="G41" s="105" t="s">
        <v>11</v>
      </c>
      <c r="H41" s="102" t="s">
        <v>11</v>
      </c>
    </row>
    <row r="42" spans="1:8">
      <c r="A42" s="136" t="s">
        <v>282</v>
      </c>
      <c r="B42" s="103">
        <v>2</v>
      </c>
      <c r="C42" s="104" t="s">
        <v>66</v>
      </c>
      <c r="D42" s="105">
        <v>2850</v>
      </c>
      <c r="E42" s="102" t="s">
        <v>11</v>
      </c>
      <c r="F42" s="106">
        <f>B42*D42</f>
        <v>5700</v>
      </c>
      <c r="G42" s="105" t="s">
        <v>11</v>
      </c>
      <c r="H42" s="102" t="s">
        <v>11</v>
      </c>
    </row>
    <row r="43" spans="1:8">
      <c r="A43" s="136" t="s">
        <v>68</v>
      </c>
      <c r="B43" s="148">
        <v>7.0000000000000007E-2</v>
      </c>
      <c r="C43" s="104" t="s">
        <v>69</v>
      </c>
      <c r="D43" s="105">
        <v>170000</v>
      </c>
      <c r="E43" s="102" t="s">
        <v>11</v>
      </c>
      <c r="F43" s="102" t="s">
        <v>11</v>
      </c>
      <c r="G43" s="105">
        <f>B43*D43</f>
        <v>11900.000000000002</v>
      </c>
      <c r="H43" s="102" t="s">
        <v>11</v>
      </c>
    </row>
    <row r="44" spans="1:8">
      <c r="A44" s="108" t="s">
        <v>70</v>
      </c>
      <c r="B44" s="109">
        <f>ROUND((SUM(E44:H44)),0)</f>
        <v>75900</v>
      </c>
      <c r="C44" s="110" t="s">
        <v>71</v>
      </c>
      <c r="D44" s="111"/>
      <c r="E44" s="112">
        <f>SUM(E41:E43)</f>
        <v>0</v>
      </c>
      <c r="F44" s="112">
        <f>SUM(F41:F43)</f>
        <v>64000</v>
      </c>
      <c r="G44" s="112">
        <f>SUM(G41:G43)</f>
        <v>11900.000000000002</v>
      </c>
      <c r="H44" s="112">
        <f>SUM(H41:H43)</f>
        <v>0</v>
      </c>
    </row>
    <row r="45" spans="1:8">
      <c r="A45" s="122"/>
      <c r="B45" s="123"/>
      <c r="C45" s="124"/>
      <c r="D45" s="125"/>
      <c r="E45" s="126"/>
      <c r="F45" s="126"/>
      <c r="G45" s="126"/>
      <c r="H45" s="126"/>
    </row>
    <row r="46" spans="1:8">
      <c r="A46" s="97" t="s">
        <v>302</v>
      </c>
      <c r="B46" s="98"/>
      <c r="C46" s="99"/>
      <c r="D46" s="100"/>
      <c r="E46" s="98"/>
      <c r="F46" s="98"/>
      <c r="G46" s="98"/>
      <c r="H46" s="98"/>
    </row>
    <row r="47" spans="1:8">
      <c r="A47" s="97"/>
      <c r="B47" s="98"/>
      <c r="C47" s="99"/>
      <c r="D47" s="100"/>
      <c r="E47" s="101" t="s">
        <v>61</v>
      </c>
      <c r="F47" s="101" t="s">
        <v>62</v>
      </c>
      <c r="G47" s="101" t="s">
        <v>63</v>
      </c>
      <c r="H47" s="101" t="s">
        <v>64</v>
      </c>
    </row>
    <row r="48" spans="1:8">
      <c r="A48" s="102" t="s">
        <v>89</v>
      </c>
      <c r="B48" s="103">
        <v>1</v>
      </c>
      <c r="C48" s="104" t="s">
        <v>49</v>
      </c>
      <c r="D48" s="105">
        <v>1500000</v>
      </c>
      <c r="E48" s="102" t="s">
        <v>11</v>
      </c>
      <c r="F48" s="106">
        <f>B48*D48</f>
        <v>1500000</v>
      </c>
      <c r="G48" s="105" t="s">
        <v>11</v>
      </c>
      <c r="H48" s="102" t="s">
        <v>11</v>
      </c>
    </row>
    <row r="49" spans="1:8">
      <c r="A49" s="136" t="s">
        <v>303</v>
      </c>
      <c r="B49" s="103">
        <v>1</v>
      </c>
      <c r="C49" s="104" t="s">
        <v>8</v>
      </c>
      <c r="D49" s="105">
        <v>4000000</v>
      </c>
      <c r="E49" s="102"/>
      <c r="F49" s="106">
        <f>B49*D49</f>
        <v>4000000</v>
      </c>
      <c r="G49" s="105"/>
      <c r="H49" s="102"/>
    </row>
    <row r="50" spans="1:8" ht="25.5">
      <c r="A50" s="149" t="s">
        <v>90</v>
      </c>
      <c r="B50" s="150">
        <v>1</v>
      </c>
      <c r="C50" s="151" t="s">
        <v>8</v>
      </c>
      <c r="D50" s="152">
        <v>2000000</v>
      </c>
      <c r="E50" s="153"/>
      <c r="F50" s="154">
        <f>B50*D50</f>
        <v>2000000</v>
      </c>
      <c r="G50" s="152"/>
      <c r="H50" s="153"/>
    </row>
    <row r="51" spans="1:8">
      <c r="A51" s="102" t="s">
        <v>68</v>
      </c>
      <c r="B51" s="103">
        <v>6</v>
      </c>
      <c r="C51" s="104" t="s">
        <v>69</v>
      </c>
      <c r="D51" s="105">
        <v>170000</v>
      </c>
      <c r="E51" s="102" t="s">
        <v>11</v>
      </c>
      <c r="F51" s="102" t="s">
        <v>11</v>
      </c>
      <c r="G51" s="105">
        <f>B51*D51</f>
        <v>1020000</v>
      </c>
      <c r="H51" s="102" t="s">
        <v>11</v>
      </c>
    </row>
    <row r="52" spans="1:8">
      <c r="A52" s="108" t="s">
        <v>70</v>
      </c>
      <c r="B52" s="109">
        <f>ROUND((SUM(E52:H52)),0)</f>
        <v>8520000</v>
      </c>
      <c r="C52" s="110" t="s">
        <v>73</v>
      </c>
      <c r="D52" s="111"/>
      <c r="E52" s="112">
        <f>SUM(E48:E51)</f>
        <v>0</v>
      </c>
      <c r="F52" s="112">
        <f>SUM(F48:F51)</f>
        <v>7500000</v>
      </c>
      <c r="G52" s="112">
        <f>SUM(G48:G51)</f>
        <v>1020000</v>
      </c>
      <c r="H52" s="112">
        <f>SUM(H48:H51)</f>
        <v>0</v>
      </c>
    </row>
    <row r="53" spans="1:8">
      <c r="A53" s="122"/>
      <c r="B53" s="123"/>
      <c r="C53" s="124"/>
      <c r="D53" s="125"/>
      <c r="E53" s="126"/>
      <c r="F53" s="126"/>
      <c r="G53" s="126"/>
      <c r="H53" s="126"/>
    </row>
    <row r="54" spans="1:8">
      <c r="A54" s="97" t="s">
        <v>304</v>
      </c>
      <c r="B54" s="98"/>
      <c r="C54" s="99"/>
      <c r="D54" s="100"/>
      <c r="E54" s="98"/>
      <c r="F54" s="98"/>
      <c r="G54" s="98"/>
      <c r="H54" s="98"/>
    </row>
    <row r="55" spans="1:8">
      <c r="A55" s="97"/>
      <c r="B55" s="98"/>
      <c r="C55" s="99"/>
      <c r="D55" s="100"/>
      <c r="E55" s="101" t="s">
        <v>61</v>
      </c>
      <c r="F55" s="101" t="s">
        <v>62</v>
      </c>
      <c r="G55" s="101" t="s">
        <v>63</v>
      </c>
      <c r="H55" s="101" t="s">
        <v>64</v>
      </c>
    </row>
    <row r="56" spans="1:8">
      <c r="A56" s="102" t="s">
        <v>91</v>
      </c>
      <c r="B56" s="103">
        <v>2</v>
      </c>
      <c r="C56" s="104" t="s">
        <v>49</v>
      </c>
      <c r="D56" s="105">
        <v>4000000</v>
      </c>
      <c r="E56" s="102" t="s">
        <v>11</v>
      </c>
      <c r="F56" s="106">
        <f t="shared" ref="F56:F62" si="1">B56*D56</f>
        <v>8000000</v>
      </c>
      <c r="G56" s="105" t="s">
        <v>11</v>
      </c>
      <c r="H56" s="102" t="s">
        <v>11</v>
      </c>
    </row>
    <row r="57" spans="1:8">
      <c r="A57" s="102" t="s">
        <v>305</v>
      </c>
      <c r="B57" s="103">
        <v>1</v>
      </c>
      <c r="C57" s="104" t="s">
        <v>49</v>
      </c>
      <c r="D57" s="105">
        <v>335000</v>
      </c>
      <c r="E57" s="102" t="s">
        <v>11</v>
      </c>
      <c r="F57" s="106">
        <f t="shared" si="1"/>
        <v>335000</v>
      </c>
      <c r="G57" s="105" t="s">
        <v>11</v>
      </c>
      <c r="H57" s="102" t="s">
        <v>11</v>
      </c>
    </row>
    <row r="58" spans="1:8">
      <c r="A58" s="102" t="s">
        <v>93</v>
      </c>
      <c r="B58" s="103">
        <v>40</v>
      </c>
      <c r="C58" s="104" t="s">
        <v>49</v>
      </c>
      <c r="D58" s="105">
        <v>300000</v>
      </c>
      <c r="E58" s="102" t="s">
        <v>11</v>
      </c>
      <c r="F58" s="106">
        <f t="shared" si="1"/>
        <v>12000000</v>
      </c>
      <c r="G58" s="105" t="s">
        <v>11</v>
      </c>
      <c r="H58" s="102" t="s">
        <v>11</v>
      </c>
    </row>
    <row r="59" spans="1:8">
      <c r="A59" s="102" t="s">
        <v>95</v>
      </c>
      <c r="B59" s="103">
        <v>1</v>
      </c>
      <c r="C59" s="104" t="s">
        <v>49</v>
      </c>
      <c r="D59" s="105">
        <v>300000</v>
      </c>
      <c r="E59" s="102" t="s">
        <v>11</v>
      </c>
      <c r="F59" s="106">
        <f t="shared" si="1"/>
        <v>300000</v>
      </c>
      <c r="G59" s="105" t="s">
        <v>11</v>
      </c>
      <c r="H59" s="102" t="s">
        <v>11</v>
      </c>
    </row>
    <row r="60" spans="1:8">
      <c r="A60" s="102" t="s">
        <v>97</v>
      </c>
      <c r="B60" s="103">
        <v>1</v>
      </c>
      <c r="C60" s="104" t="s">
        <v>8</v>
      </c>
      <c r="D60" s="105">
        <v>160000</v>
      </c>
      <c r="E60" s="102"/>
      <c r="F60" s="106">
        <f t="shared" si="1"/>
        <v>160000</v>
      </c>
      <c r="G60" s="105"/>
      <c r="H60" s="102"/>
    </row>
    <row r="61" spans="1:8">
      <c r="A61" s="102" t="s">
        <v>94</v>
      </c>
      <c r="B61" s="103">
        <v>40</v>
      </c>
      <c r="C61" s="104" t="s">
        <v>8</v>
      </c>
      <c r="D61" s="105">
        <v>32000</v>
      </c>
      <c r="E61" s="102"/>
      <c r="F61" s="106">
        <f t="shared" si="1"/>
        <v>1280000</v>
      </c>
      <c r="G61" s="105"/>
      <c r="H61" s="102"/>
    </row>
    <row r="62" spans="1:8">
      <c r="A62" s="102" t="s">
        <v>306</v>
      </c>
      <c r="B62" s="103">
        <v>1</v>
      </c>
      <c r="C62" s="104" t="s">
        <v>8</v>
      </c>
      <c r="D62" s="105">
        <v>80000</v>
      </c>
      <c r="E62" s="102"/>
      <c r="F62" s="106">
        <f t="shared" si="1"/>
        <v>80000</v>
      </c>
      <c r="G62" s="105"/>
      <c r="H62" s="102"/>
    </row>
    <row r="63" spans="1:8">
      <c r="A63" s="102" t="s">
        <v>68</v>
      </c>
      <c r="B63" s="103">
        <v>8</v>
      </c>
      <c r="C63" s="104" t="s">
        <v>69</v>
      </c>
      <c r="D63" s="105">
        <v>170000</v>
      </c>
      <c r="E63" s="102" t="s">
        <v>11</v>
      </c>
      <c r="F63" s="102" t="s">
        <v>11</v>
      </c>
      <c r="G63" s="105">
        <f>B63*D63</f>
        <v>1360000</v>
      </c>
      <c r="H63" s="102" t="s">
        <v>11</v>
      </c>
    </row>
    <row r="64" spans="1:8">
      <c r="A64" s="108" t="s">
        <v>70</v>
      </c>
      <c r="B64" s="109">
        <f>ROUND((SUM(E64:H64)),0)</f>
        <v>23515000</v>
      </c>
      <c r="C64" s="110" t="s">
        <v>73</v>
      </c>
      <c r="D64" s="111"/>
      <c r="E64" s="112">
        <f>SUM(E56:E63)</f>
        <v>0</v>
      </c>
      <c r="F64" s="112">
        <f>SUM(F56:F63)</f>
        <v>22155000</v>
      </c>
      <c r="G64" s="112">
        <f>SUM(G56:G63)</f>
        <v>1360000</v>
      </c>
      <c r="H64" s="112">
        <f>SUM(H56:H63)</f>
        <v>0</v>
      </c>
    </row>
    <row r="65" spans="1:8">
      <c r="A65" s="122"/>
      <c r="B65" s="123"/>
      <c r="C65" s="124"/>
      <c r="D65" s="125"/>
      <c r="E65" s="126"/>
      <c r="F65" s="126"/>
      <c r="G65" s="126"/>
      <c r="H65" s="126"/>
    </row>
    <row r="66" spans="1:8">
      <c r="A66" s="97" t="s">
        <v>307</v>
      </c>
      <c r="B66" s="98"/>
      <c r="C66" s="99"/>
      <c r="D66" s="100"/>
      <c r="E66" s="98"/>
      <c r="F66" s="98"/>
      <c r="G66" s="98"/>
      <c r="H66" s="98"/>
    </row>
    <row r="67" spans="1:8">
      <c r="A67" s="97"/>
      <c r="B67" s="98"/>
      <c r="C67" s="99"/>
      <c r="D67" s="100"/>
      <c r="E67" s="101" t="s">
        <v>61</v>
      </c>
      <c r="F67" s="101" t="s">
        <v>62</v>
      </c>
      <c r="G67" s="101" t="s">
        <v>63</v>
      </c>
      <c r="H67" s="101" t="s">
        <v>64</v>
      </c>
    </row>
    <row r="68" spans="1:8">
      <c r="A68" s="138" t="s">
        <v>152</v>
      </c>
      <c r="B68" s="139">
        <v>4</v>
      </c>
      <c r="C68" s="140" t="s">
        <v>49</v>
      </c>
      <c r="D68" s="141">
        <v>115000</v>
      </c>
      <c r="E68" s="138" t="s">
        <v>11</v>
      </c>
      <c r="F68" s="142">
        <f>B68*D68</f>
        <v>460000</v>
      </c>
      <c r="G68" s="141" t="s">
        <v>11</v>
      </c>
      <c r="H68" s="138" t="s">
        <v>11</v>
      </c>
    </row>
    <row r="69" spans="1:8">
      <c r="A69" s="138" t="s">
        <v>153</v>
      </c>
      <c r="B69" s="139">
        <v>30</v>
      </c>
      <c r="C69" s="140" t="s">
        <v>66</v>
      </c>
      <c r="D69" s="141">
        <v>20825</v>
      </c>
      <c r="E69" s="138" t="s">
        <v>11</v>
      </c>
      <c r="F69" s="142">
        <f>B69*D69</f>
        <v>624750</v>
      </c>
      <c r="G69" s="141" t="s">
        <v>11</v>
      </c>
      <c r="H69" s="138" t="s">
        <v>11</v>
      </c>
    </row>
    <row r="70" spans="1:8">
      <c r="A70" s="138" t="s">
        <v>80</v>
      </c>
      <c r="B70" s="139">
        <v>480</v>
      </c>
      <c r="C70" s="140" t="s">
        <v>154</v>
      </c>
      <c r="D70" s="138">
        <v>300</v>
      </c>
      <c r="E70" s="138" t="s">
        <v>11</v>
      </c>
      <c r="F70" s="142">
        <f>B70*D70</f>
        <v>144000</v>
      </c>
      <c r="G70" s="141" t="s">
        <v>11</v>
      </c>
      <c r="H70" s="138" t="s">
        <v>11</v>
      </c>
    </row>
    <row r="71" spans="1:8">
      <c r="A71" s="138" t="s">
        <v>155</v>
      </c>
      <c r="B71" s="139">
        <v>4</v>
      </c>
      <c r="C71" s="140" t="s">
        <v>49</v>
      </c>
      <c r="D71" s="141">
        <v>70000</v>
      </c>
      <c r="E71" s="138" t="s">
        <v>11</v>
      </c>
      <c r="F71" s="142">
        <f>B71*D71</f>
        <v>280000</v>
      </c>
      <c r="G71" s="141" t="s">
        <v>11</v>
      </c>
      <c r="H71" s="138" t="s">
        <v>11</v>
      </c>
    </row>
    <row r="72" spans="1:8">
      <c r="A72" s="138" t="s">
        <v>68</v>
      </c>
      <c r="B72" s="139">
        <v>6</v>
      </c>
      <c r="C72" s="140" t="s">
        <v>69</v>
      </c>
      <c r="D72" s="141">
        <v>170000</v>
      </c>
      <c r="E72" s="138" t="s">
        <v>11</v>
      </c>
      <c r="F72" s="138" t="s">
        <v>11</v>
      </c>
      <c r="G72" s="141">
        <f>B72*D72</f>
        <v>1020000</v>
      </c>
      <c r="H72" s="138" t="s">
        <v>11</v>
      </c>
    </row>
    <row r="73" spans="1:8">
      <c r="A73" s="108" t="s">
        <v>70</v>
      </c>
      <c r="B73" s="109">
        <f>ROUND((SUM(E73:H73)),0)</f>
        <v>2528750</v>
      </c>
      <c r="C73" s="110" t="s">
        <v>73</v>
      </c>
      <c r="D73" s="111"/>
      <c r="E73" s="112">
        <f>SUM(E68:E72)</f>
        <v>0</v>
      </c>
      <c r="F73" s="112">
        <f>SUM(F68:F72)</f>
        <v>1508750</v>
      </c>
      <c r="G73" s="112">
        <f>SUM(G68:G72)</f>
        <v>1020000</v>
      </c>
      <c r="H73" s="112">
        <f>SUM(H68:H72)</f>
        <v>0</v>
      </c>
    </row>
    <row r="74" spans="1:8">
      <c r="A74" s="122"/>
      <c r="B74" s="123"/>
      <c r="C74" s="124"/>
      <c r="D74" s="125"/>
      <c r="E74" s="126"/>
      <c r="F74" s="126"/>
      <c r="G74" s="126"/>
      <c r="H74" s="126"/>
    </row>
    <row r="75" spans="1:8">
      <c r="A75" s="97" t="s">
        <v>308</v>
      </c>
      <c r="B75" s="98"/>
      <c r="C75" s="99"/>
      <c r="D75" s="100"/>
      <c r="E75" s="98"/>
      <c r="F75" s="98"/>
      <c r="G75" s="98"/>
      <c r="H75" s="98"/>
    </row>
    <row r="76" spans="1:8">
      <c r="A76" s="97"/>
      <c r="B76" s="98"/>
      <c r="C76" s="99"/>
      <c r="D76" s="100"/>
      <c r="E76" s="101" t="s">
        <v>61</v>
      </c>
      <c r="F76" s="101" t="s">
        <v>62</v>
      </c>
      <c r="G76" s="101" t="s">
        <v>63</v>
      </c>
      <c r="H76" s="101" t="s">
        <v>64</v>
      </c>
    </row>
    <row r="77" spans="1:8">
      <c r="A77" s="138" t="s">
        <v>309</v>
      </c>
      <c r="B77" s="139">
        <v>1</v>
      </c>
      <c r="C77" s="140" t="s">
        <v>8</v>
      </c>
      <c r="D77" s="141">
        <v>60000000</v>
      </c>
      <c r="E77" s="138" t="s">
        <v>11</v>
      </c>
      <c r="F77" s="142">
        <f>B77*D77</f>
        <v>60000000</v>
      </c>
      <c r="G77" s="141" t="s">
        <v>11</v>
      </c>
      <c r="H77" s="138" t="s">
        <v>11</v>
      </c>
    </row>
    <row r="78" spans="1:8">
      <c r="A78" s="138" t="s">
        <v>68</v>
      </c>
      <c r="B78" s="139">
        <v>18</v>
      </c>
      <c r="C78" s="140" t="s">
        <v>69</v>
      </c>
      <c r="D78" s="141">
        <v>170000</v>
      </c>
      <c r="E78" s="138" t="s">
        <v>11</v>
      </c>
      <c r="F78" s="138" t="s">
        <v>11</v>
      </c>
      <c r="G78" s="141">
        <f>B78*D78</f>
        <v>3060000</v>
      </c>
      <c r="H78" s="138" t="s">
        <v>11</v>
      </c>
    </row>
    <row r="79" spans="1:8">
      <c r="A79" s="108" t="s">
        <v>70</v>
      </c>
      <c r="B79" s="109">
        <f>ROUND((SUM(E79:H79)),0)</f>
        <v>63060000</v>
      </c>
      <c r="C79" s="110" t="s">
        <v>73</v>
      </c>
      <c r="D79" s="111"/>
      <c r="E79" s="112">
        <f>SUM(E77:E78)</f>
        <v>0</v>
      </c>
      <c r="F79" s="112">
        <f>SUM(F77:F78)</f>
        <v>60000000</v>
      </c>
      <c r="G79" s="112">
        <f>SUM(G77:G78)</f>
        <v>3060000</v>
      </c>
      <c r="H79" s="112">
        <f>SUM(H77:H78)</f>
        <v>0</v>
      </c>
    </row>
    <row r="80" spans="1:8">
      <c r="A80" s="122"/>
      <c r="B80" s="123"/>
      <c r="C80" s="124"/>
      <c r="D80" s="125"/>
      <c r="E80" s="126"/>
      <c r="F80" s="126"/>
      <c r="G80" s="126"/>
      <c r="H80" s="126"/>
    </row>
    <row r="81" spans="1:8">
      <c r="A81" s="97" t="s">
        <v>310</v>
      </c>
      <c r="B81" s="98"/>
      <c r="C81" s="99"/>
      <c r="D81" s="100"/>
      <c r="E81" s="98"/>
      <c r="F81" s="98"/>
      <c r="G81" s="98"/>
      <c r="H81" s="98"/>
    </row>
    <row r="82" spans="1:8">
      <c r="A82" s="97"/>
      <c r="B82" s="98"/>
      <c r="C82" s="99"/>
      <c r="D82" s="100"/>
      <c r="E82" s="101" t="s">
        <v>61</v>
      </c>
      <c r="F82" s="101" t="s">
        <v>62</v>
      </c>
      <c r="G82" s="101" t="s">
        <v>63</v>
      </c>
      <c r="H82" s="101" t="s">
        <v>64</v>
      </c>
    </row>
    <row r="83" spans="1:8">
      <c r="A83" s="102" t="s">
        <v>311</v>
      </c>
      <c r="B83" s="103">
        <v>1</v>
      </c>
      <c r="C83" s="104" t="s">
        <v>49</v>
      </c>
      <c r="D83" s="105">
        <v>420575</v>
      </c>
      <c r="E83" s="102" t="s">
        <v>11</v>
      </c>
      <c r="F83" s="106">
        <f>B83*D83</f>
        <v>420575</v>
      </c>
      <c r="G83" s="105" t="s">
        <v>11</v>
      </c>
      <c r="H83" s="102" t="s">
        <v>11</v>
      </c>
    </row>
    <row r="84" spans="1:8">
      <c r="A84" s="102" t="s">
        <v>68</v>
      </c>
      <c r="B84" s="155">
        <v>0.7</v>
      </c>
      <c r="C84" s="104" t="s">
        <v>69</v>
      </c>
      <c r="D84" s="105">
        <v>170000</v>
      </c>
      <c r="E84" s="102" t="s">
        <v>11</v>
      </c>
      <c r="F84" s="102" t="s">
        <v>11</v>
      </c>
      <c r="G84" s="105">
        <f>B84*D84</f>
        <v>118999.99999999999</v>
      </c>
      <c r="H84" s="102" t="s">
        <v>11</v>
      </c>
    </row>
    <row r="85" spans="1:8">
      <c r="A85" s="108" t="s">
        <v>70</v>
      </c>
      <c r="B85" s="109">
        <f>ROUND((SUM(E85:H85)),0)</f>
        <v>539575</v>
      </c>
      <c r="C85" s="110" t="s">
        <v>73</v>
      </c>
      <c r="D85" s="111"/>
      <c r="E85" s="112">
        <f>SUM(E83:E84)</f>
        <v>0</v>
      </c>
      <c r="F85" s="112">
        <f>SUM(F83:F84)</f>
        <v>420575</v>
      </c>
      <c r="G85" s="112">
        <f>SUM(G83:G84)</f>
        <v>118999.99999999999</v>
      </c>
      <c r="H85" s="112">
        <f>SUM(H83:H84)</f>
        <v>0</v>
      </c>
    </row>
    <row r="86" spans="1:8">
      <c r="A86" s="122"/>
      <c r="B86" s="123"/>
      <c r="C86" s="124"/>
      <c r="D86" s="125"/>
      <c r="E86" s="126"/>
      <c r="F86" s="126"/>
      <c r="G86" s="126"/>
      <c r="H86" s="126"/>
    </row>
    <row r="87" spans="1:8">
      <c r="A87" s="97" t="s">
        <v>312</v>
      </c>
      <c r="B87" s="98"/>
      <c r="C87" s="99"/>
      <c r="D87" s="100"/>
      <c r="E87" s="98"/>
      <c r="F87" s="98"/>
      <c r="G87" s="98"/>
      <c r="H87" s="98"/>
    </row>
    <row r="88" spans="1:8">
      <c r="A88" s="97"/>
      <c r="B88" s="98"/>
      <c r="C88" s="99"/>
      <c r="D88" s="100"/>
      <c r="E88" s="101" t="s">
        <v>61</v>
      </c>
      <c r="F88" s="101" t="s">
        <v>62</v>
      </c>
      <c r="G88" s="101" t="s">
        <v>63</v>
      </c>
      <c r="H88" s="101" t="s">
        <v>64</v>
      </c>
    </row>
    <row r="89" spans="1:8">
      <c r="A89" s="136" t="s">
        <v>173</v>
      </c>
      <c r="B89" s="103">
        <v>1</v>
      </c>
      <c r="C89" s="104" t="s">
        <v>8</v>
      </c>
      <c r="D89" s="105">
        <v>1500000</v>
      </c>
      <c r="E89" s="102" t="s">
        <v>11</v>
      </c>
      <c r="F89" s="106">
        <f>B89*D89</f>
        <v>1500000</v>
      </c>
      <c r="G89" s="105" t="s">
        <v>11</v>
      </c>
      <c r="H89" s="102" t="s">
        <v>11</v>
      </c>
    </row>
    <row r="90" spans="1:8">
      <c r="A90" s="136" t="s">
        <v>174</v>
      </c>
      <c r="B90" s="103">
        <v>1</v>
      </c>
      <c r="C90" s="104" t="s">
        <v>8</v>
      </c>
      <c r="D90" s="105">
        <v>3560000</v>
      </c>
      <c r="E90" s="102" t="s">
        <v>11</v>
      </c>
      <c r="F90" s="106">
        <f>B90*D90</f>
        <v>3560000</v>
      </c>
      <c r="G90" s="105" t="s">
        <v>11</v>
      </c>
      <c r="H90" s="102" t="s">
        <v>11</v>
      </c>
    </row>
    <row r="91" spans="1:8">
      <c r="A91" s="136" t="s">
        <v>175</v>
      </c>
      <c r="B91" s="103">
        <v>1</v>
      </c>
      <c r="C91" s="104" t="s">
        <v>8</v>
      </c>
      <c r="D91" s="105">
        <v>2000000</v>
      </c>
      <c r="E91" s="102" t="s">
        <v>11</v>
      </c>
      <c r="F91" s="106">
        <f>B91*D91</f>
        <v>2000000</v>
      </c>
      <c r="G91" s="105" t="s">
        <v>11</v>
      </c>
      <c r="H91" s="102" t="s">
        <v>11</v>
      </c>
    </row>
    <row r="92" spans="1:8">
      <c r="A92" s="136" t="s">
        <v>68</v>
      </c>
      <c r="B92" s="155">
        <v>2.7</v>
      </c>
      <c r="C92" s="104" t="s">
        <v>69</v>
      </c>
      <c r="D92" s="105">
        <v>170000</v>
      </c>
      <c r="E92" s="102" t="s">
        <v>11</v>
      </c>
      <c r="F92" s="102" t="s">
        <v>11</v>
      </c>
      <c r="G92" s="105">
        <f>B92*D92</f>
        <v>459000.00000000006</v>
      </c>
      <c r="H92" s="102" t="s">
        <v>11</v>
      </c>
    </row>
    <row r="93" spans="1:8">
      <c r="A93" s="108" t="s">
        <v>70</v>
      </c>
      <c r="B93" s="109">
        <f>ROUND((SUM(E93:H93)),0)</f>
        <v>7519000</v>
      </c>
      <c r="C93" s="110" t="s">
        <v>71</v>
      </c>
      <c r="D93" s="111"/>
      <c r="E93" s="112">
        <f>SUM(E89:E92)</f>
        <v>0</v>
      </c>
      <c r="F93" s="112">
        <f>SUM(F89:F92)</f>
        <v>7060000</v>
      </c>
      <c r="G93" s="112">
        <f>SUM(G89:G92)</f>
        <v>459000.00000000006</v>
      </c>
      <c r="H93" s="112">
        <f>SUM(H89:H92)</f>
        <v>0</v>
      </c>
    </row>
    <row r="94" spans="1:8">
      <c r="A94" s="122"/>
      <c r="B94" s="123"/>
      <c r="C94" s="124"/>
      <c r="D94" s="125"/>
      <c r="E94" s="126"/>
      <c r="F94" s="126"/>
      <c r="G94" s="126"/>
      <c r="H94" s="126"/>
    </row>
    <row r="95" spans="1:8">
      <c r="A95" s="97" t="s">
        <v>313</v>
      </c>
      <c r="B95" s="98"/>
      <c r="C95" s="99"/>
      <c r="D95" s="100"/>
      <c r="E95" s="98"/>
      <c r="F95" s="98"/>
      <c r="G95" s="98"/>
      <c r="H95" s="98"/>
    </row>
    <row r="96" spans="1:8">
      <c r="A96" s="97"/>
      <c r="B96" s="98"/>
      <c r="C96" s="99"/>
      <c r="D96" s="100"/>
      <c r="E96" s="101" t="s">
        <v>61</v>
      </c>
      <c r="F96" s="101" t="s">
        <v>62</v>
      </c>
      <c r="G96" s="101" t="s">
        <v>63</v>
      </c>
      <c r="H96" s="101" t="s">
        <v>64</v>
      </c>
    </row>
    <row r="97" spans="1:8">
      <c r="A97" s="102" t="s">
        <v>101</v>
      </c>
      <c r="B97" s="103">
        <v>4</v>
      </c>
      <c r="C97" s="104" t="s">
        <v>66</v>
      </c>
      <c r="D97" s="105">
        <v>4589</v>
      </c>
      <c r="E97" s="102" t="s">
        <v>11</v>
      </c>
      <c r="F97" s="106">
        <f>B97*D97</f>
        <v>18356</v>
      </c>
      <c r="G97" s="105" t="s">
        <v>11</v>
      </c>
      <c r="H97" s="102" t="s">
        <v>11</v>
      </c>
    </row>
    <row r="98" spans="1:8">
      <c r="A98" s="102" t="s">
        <v>314</v>
      </c>
      <c r="B98" s="103">
        <v>1</v>
      </c>
      <c r="C98" s="104" t="s">
        <v>66</v>
      </c>
      <c r="D98" s="105">
        <v>2972</v>
      </c>
      <c r="E98" s="102" t="s">
        <v>11</v>
      </c>
      <c r="F98" s="106">
        <f>B98*D98</f>
        <v>2972</v>
      </c>
      <c r="G98" s="105" t="s">
        <v>11</v>
      </c>
      <c r="H98" s="102" t="s">
        <v>11</v>
      </c>
    </row>
    <row r="99" spans="1:8">
      <c r="A99" s="102" t="s">
        <v>315</v>
      </c>
      <c r="B99" s="103">
        <v>1</v>
      </c>
      <c r="C99" s="104" t="s">
        <v>66</v>
      </c>
      <c r="D99" s="105">
        <v>2528</v>
      </c>
      <c r="E99" s="102" t="s">
        <v>11</v>
      </c>
      <c r="F99" s="106">
        <f>B99*D99</f>
        <v>2528</v>
      </c>
      <c r="G99" s="105" t="s">
        <v>11</v>
      </c>
      <c r="H99" s="102" t="s">
        <v>11</v>
      </c>
    </row>
    <row r="100" spans="1:8">
      <c r="A100" s="102" t="s">
        <v>68</v>
      </c>
      <c r="B100" s="107">
        <v>0.05</v>
      </c>
      <c r="C100" s="104" t="s">
        <v>69</v>
      </c>
      <c r="D100" s="105">
        <v>170000</v>
      </c>
      <c r="E100" s="102" t="s">
        <v>11</v>
      </c>
      <c r="F100" s="106"/>
      <c r="G100" s="105">
        <f>B100*D100</f>
        <v>8500</v>
      </c>
      <c r="H100" s="102" t="s">
        <v>11</v>
      </c>
    </row>
    <row r="101" spans="1:8">
      <c r="A101" s="108" t="s">
        <v>70</v>
      </c>
      <c r="B101" s="109">
        <f>ROUND((SUM(E101:H101)),0)</f>
        <v>32356</v>
      </c>
      <c r="C101" s="110" t="s">
        <v>71</v>
      </c>
      <c r="D101" s="111"/>
      <c r="E101" s="112">
        <f>SUM(E97:E100)</f>
        <v>0</v>
      </c>
      <c r="F101" s="112">
        <f>SUM(F97:F100)</f>
        <v>23856</v>
      </c>
      <c r="G101" s="112">
        <f>SUM(G97:G100)</f>
        <v>8500</v>
      </c>
      <c r="H101" s="112">
        <f>SUM(H97:H100)</f>
        <v>0</v>
      </c>
    </row>
    <row r="102" spans="1:8">
      <c r="A102" s="122"/>
      <c r="B102" s="123"/>
      <c r="C102" s="124"/>
      <c r="D102" s="125"/>
      <c r="E102" s="126"/>
      <c r="F102" s="126"/>
      <c r="G102" s="126"/>
      <c r="H102" s="126"/>
    </row>
    <row r="103" spans="1:8">
      <c r="A103" s="97" t="s">
        <v>316</v>
      </c>
      <c r="B103" s="98"/>
      <c r="C103" s="99"/>
      <c r="D103" s="100"/>
      <c r="E103" s="98"/>
      <c r="F103" s="98"/>
      <c r="G103" s="98"/>
      <c r="H103" s="98"/>
    </row>
    <row r="104" spans="1:8">
      <c r="A104" s="97"/>
      <c r="B104" s="98"/>
      <c r="C104" s="99"/>
      <c r="D104" s="100"/>
      <c r="E104" s="101" t="s">
        <v>61</v>
      </c>
      <c r="F104" s="101" t="s">
        <v>62</v>
      </c>
      <c r="G104" s="101" t="s">
        <v>63</v>
      </c>
      <c r="H104" s="101" t="s">
        <v>64</v>
      </c>
    </row>
    <row r="105" spans="1:8">
      <c r="A105" s="102" t="s">
        <v>149</v>
      </c>
      <c r="B105" s="103">
        <v>4</v>
      </c>
      <c r="C105" s="104" t="s">
        <v>66</v>
      </c>
      <c r="D105" s="105">
        <v>9500</v>
      </c>
      <c r="E105" s="102" t="s">
        <v>11</v>
      </c>
      <c r="F105" s="106">
        <f>B105*D105</f>
        <v>38000</v>
      </c>
      <c r="G105" s="105" t="s">
        <v>11</v>
      </c>
      <c r="H105" s="102" t="s">
        <v>11</v>
      </c>
    </row>
    <row r="106" spans="1:8">
      <c r="A106" s="136" t="s">
        <v>282</v>
      </c>
      <c r="B106" s="103">
        <v>2</v>
      </c>
      <c r="C106" s="104" t="s">
        <v>66</v>
      </c>
      <c r="D106" s="105">
        <v>3000</v>
      </c>
      <c r="E106" s="102" t="s">
        <v>11</v>
      </c>
      <c r="F106" s="106">
        <f>B106*D106</f>
        <v>6000</v>
      </c>
      <c r="G106" s="105" t="s">
        <v>11</v>
      </c>
      <c r="H106" s="102" t="s">
        <v>11</v>
      </c>
    </row>
    <row r="107" spans="1:8">
      <c r="A107" s="136" t="s">
        <v>68</v>
      </c>
      <c r="B107" s="147">
        <v>8.8234999999999994E-2</v>
      </c>
      <c r="C107" s="104" t="s">
        <v>69</v>
      </c>
      <c r="D107" s="105">
        <v>170000</v>
      </c>
      <c r="E107" s="102" t="s">
        <v>11</v>
      </c>
      <c r="F107" s="102" t="s">
        <v>11</v>
      </c>
      <c r="G107" s="105">
        <f>B107*D107</f>
        <v>14999.949999999999</v>
      </c>
      <c r="H107" s="102" t="s">
        <v>11</v>
      </c>
    </row>
    <row r="108" spans="1:8">
      <c r="A108" s="108" t="s">
        <v>70</v>
      </c>
      <c r="B108" s="109">
        <f>ROUND((SUM(E108:H108)),0)</f>
        <v>59000</v>
      </c>
      <c r="C108" s="110" t="s">
        <v>71</v>
      </c>
      <c r="D108" s="111"/>
      <c r="E108" s="112">
        <f>SUM(E105:E107)</f>
        <v>0</v>
      </c>
      <c r="F108" s="112">
        <f>SUM(F105:F107)</f>
        <v>44000</v>
      </c>
      <c r="G108" s="112">
        <f>SUM(G105:G107)</f>
        <v>14999.949999999999</v>
      </c>
      <c r="H108" s="112">
        <f>SUM(H105:H107)</f>
        <v>0</v>
      </c>
    </row>
    <row r="109" spans="1:8">
      <c r="A109" s="122"/>
      <c r="B109" s="123"/>
      <c r="C109" s="124"/>
      <c r="D109" s="125"/>
      <c r="E109" s="126"/>
      <c r="F109" s="126"/>
      <c r="G109" s="126"/>
      <c r="H109" s="126"/>
    </row>
    <row r="110" spans="1:8">
      <c r="A110" s="97" t="s">
        <v>317</v>
      </c>
      <c r="B110" s="98"/>
      <c r="C110" s="99"/>
      <c r="D110" s="100"/>
      <c r="E110" s="98"/>
      <c r="F110" s="98"/>
      <c r="G110" s="98"/>
      <c r="H110" s="98"/>
    </row>
    <row r="111" spans="1:8">
      <c r="A111" s="97"/>
      <c r="B111" s="98"/>
      <c r="C111" s="99"/>
      <c r="D111" s="100"/>
      <c r="E111" s="101" t="s">
        <v>61</v>
      </c>
      <c r="F111" s="101" t="s">
        <v>62</v>
      </c>
      <c r="G111" s="101" t="s">
        <v>63</v>
      </c>
      <c r="H111" s="101" t="s">
        <v>64</v>
      </c>
    </row>
    <row r="112" spans="1:8">
      <c r="A112" s="136" t="s">
        <v>185</v>
      </c>
      <c r="B112" s="103">
        <v>4</v>
      </c>
      <c r="C112" s="104" t="s">
        <v>66</v>
      </c>
      <c r="D112" s="105">
        <v>5940</v>
      </c>
      <c r="E112" s="102" t="s">
        <v>11</v>
      </c>
      <c r="F112" s="106">
        <f>B112*D112</f>
        <v>23760</v>
      </c>
      <c r="G112" s="105" t="s">
        <v>11</v>
      </c>
      <c r="H112" s="102" t="s">
        <v>11</v>
      </c>
    </row>
    <row r="113" spans="1:8">
      <c r="A113" s="102" t="s">
        <v>318</v>
      </c>
      <c r="B113" s="103">
        <v>1</v>
      </c>
      <c r="C113" s="104" t="s">
        <v>66</v>
      </c>
      <c r="D113" s="105">
        <v>3000</v>
      </c>
      <c r="E113" s="102" t="s">
        <v>11</v>
      </c>
      <c r="F113" s="106">
        <f>B113*D113</f>
        <v>3000</v>
      </c>
      <c r="G113" s="105" t="s">
        <v>11</v>
      </c>
      <c r="H113" s="102" t="s">
        <v>11</v>
      </c>
    </row>
    <row r="114" spans="1:8">
      <c r="A114" s="136" t="s">
        <v>68</v>
      </c>
      <c r="B114" s="147">
        <v>5.8823E-2</v>
      </c>
      <c r="C114" s="104" t="s">
        <v>69</v>
      </c>
      <c r="D114" s="105">
        <v>170000</v>
      </c>
      <c r="E114" s="102" t="s">
        <v>11</v>
      </c>
      <c r="F114" s="102" t="s">
        <v>11</v>
      </c>
      <c r="G114" s="105">
        <f>B114*D114</f>
        <v>9999.91</v>
      </c>
      <c r="H114" s="102" t="s">
        <v>11</v>
      </c>
    </row>
    <row r="115" spans="1:8">
      <c r="A115" s="108" t="s">
        <v>70</v>
      </c>
      <c r="B115" s="109">
        <f>ROUND((SUM(E115:H115)),0)</f>
        <v>36760</v>
      </c>
      <c r="C115" s="110" t="s">
        <v>71</v>
      </c>
      <c r="D115" s="111"/>
      <c r="E115" s="112">
        <f>SUM(E112:E114)</f>
        <v>0</v>
      </c>
      <c r="F115" s="112">
        <f>SUM(F112:F114)</f>
        <v>26760</v>
      </c>
      <c r="G115" s="112">
        <f>SUM(G112:G114)</f>
        <v>9999.91</v>
      </c>
      <c r="H115" s="112">
        <f>SUM(H112:H114)</f>
        <v>0</v>
      </c>
    </row>
    <row r="116" spans="1:8">
      <c r="A116" s="122"/>
      <c r="B116" s="123"/>
      <c r="C116" s="124"/>
      <c r="D116" s="125"/>
      <c r="E116" s="126"/>
      <c r="F116" s="126"/>
      <c r="G116" s="126"/>
      <c r="H116" s="126"/>
    </row>
    <row r="117" spans="1:8">
      <c r="A117" s="97" t="s">
        <v>319</v>
      </c>
      <c r="B117" s="98"/>
      <c r="C117" s="99"/>
      <c r="D117" s="100"/>
      <c r="E117" s="98"/>
      <c r="F117" s="98"/>
      <c r="G117" s="98"/>
      <c r="H117" s="98"/>
    </row>
    <row r="118" spans="1:8">
      <c r="A118" s="97"/>
      <c r="B118" s="98"/>
      <c r="C118" s="99"/>
      <c r="D118" s="100"/>
      <c r="E118" s="101" t="s">
        <v>61</v>
      </c>
      <c r="F118" s="101" t="s">
        <v>62</v>
      </c>
      <c r="G118" s="101" t="s">
        <v>63</v>
      </c>
      <c r="H118" s="101" t="s">
        <v>64</v>
      </c>
    </row>
    <row r="119" spans="1:8">
      <c r="A119" s="102" t="s">
        <v>314</v>
      </c>
      <c r="B119" s="103">
        <v>4</v>
      </c>
      <c r="C119" s="104" t="s">
        <v>66</v>
      </c>
      <c r="D119" s="105">
        <v>2972</v>
      </c>
      <c r="E119" s="102" t="s">
        <v>11</v>
      </c>
      <c r="F119" s="106">
        <f>B119*D119</f>
        <v>11888</v>
      </c>
      <c r="G119" s="105" t="s">
        <v>11</v>
      </c>
      <c r="H119" s="102" t="s">
        <v>11</v>
      </c>
    </row>
    <row r="120" spans="1:8">
      <c r="A120" s="102" t="s">
        <v>320</v>
      </c>
      <c r="B120" s="103">
        <v>1</v>
      </c>
      <c r="C120" s="104" t="s">
        <v>18</v>
      </c>
      <c r="D120" s="105">
        <v>1734</v>
      </c>
      <c r="E120" s="102"/>
      <c r="F120" s="106">
        <f>B120*D120</f>
        <v>1734</v>
      </c>
      <c r="G120" s="105"/>
      <c r="H120" s="102"/>
    </row>
    <row r="121" spans="1:8">
      <c r="A121" s="102" t="s">
        <v>315</v>
      </c>
      <c r="B121" s="103">
        <v>1</v>
      </c>
      <c r="C121" s="104" t="s">
        <v>66</v>
      </c>
      <c r="D121" s="105">
        <v>2528</v>
      </c>
      <c r="E121" s="102" t="s">
        <v>11</v>
      </c>
      <c r="F121" s="106">
        <f>B121*D121</f>
        <v>2528</v>
      </c>
      <c r="G121" s="105" t="s">
        <v>11</v>
      </c>
      <c r="H121" s="102" t="s">
        <v>11</v>
      </c>
    </row>
    <row r="122" spans="1:8">
      <c r="A122" s="102" t="s">
        <v>68</v>
      </c>
      <c r="B122" s="107">
        <v>3.8234999999999998E-2</v>
      </c>
      <c r="C122" s="104" t="s">
        <v>69</v>
      </c>
      <c r="D122" s="105">
        <v>170000</v>
      </c>
      <c r="E122" s="102" t="s">
        <v>11</v>
      </c>
      <c r="F122" s="106"/>
      <c r="G122" s="105">
        <f>B122*D122</f>
        <v>6499.95</v>
      </c>
      <c r="H122" s="102" t="s">
        <v>11</v>
      </c>
    </row>
    <row r="123" spans="1:8">
      <c r="A123" s="108" t="s">
        <v>70</v>
      </c>
      <c r="B123" s="109">
        <f>ROUND((SUM(E123:H123)),0)</f>
        <v>22650</v>
      </c>
      <c r="C123" s="110" t="s">
        <v>71</v>
      </c>
      <c r="D123" s="111"/>
      <c r="E123" s="112">
        <f>SUM(E119:E122)</f>
        <v>0</v>
      </c>
      <c r="F123" s="112">
        <f>SUM(F119:F122)</f>
        <v>16150</v>
      </c>
      <c r="G123" s="112">
        <f>SUM(G119:G122)</f>
        <v>6499.95</v>
      </c>
      <c r="H123" s="112">
        <f>SUM(H119:H122)</f>
        <v>0</v>
      </c>
    </row>
    <row r="124" spans="1:8">
      <c r="A124" s="122"/>
      <c r="B124" s="123"/>
      <c r="C124" s="124"/>
      <c r="D124" s="125"/>
      <c r="E124" s="126"/>
      <c r="F124" s="126"/>
      <c r="G124" s="126"/>
      <c r="H124" s="126"/>
    </row>
    <row r="125" spans="1:8">
      <c r="A125" s="122"/>
      <c r="B125" s="123"/>
      <c r="C125" s="124"/>
      <c r="D125" s="125"/>
      <c r="E125" s="126"/>
      <c r="F125" s="126"/>
      <c r="G125" s="126"/>
      <c r="H125" s="126"/>
    </row>
    <row r="126" spans="1:8">
      <c r="A126" s="122"/>
      <c r="B126" s="123"/>
      <c r="C126" s="124"/>
      <c r="D126" s="125"/>
      <c r="E126" s="126"/>
      <c r="F126" s="126"/>
      <c r="G126" s="126"/>
      <c r="H126" s="126"/>
    </row>
    <row r="127" spans="1:8">
      <c r="A127" s="122"/>
      <c r="B127" s="123"/>
      <c r="C127" s="124"/>
      <c r="D127" s="125"/>
      <c r="E127" s="126"/>
      <c r="F127" s="126"/>
      <c r="G127" s="126"/>
      <c r="H127" s="126"/>
    </row>
    <row r="128" spans="1:8">
      <c r="A128" s="122"/>
      <c r="B128" s="123"/>
      <c r="C128" s="124"/>
      <c r="D128" s="125"/>
      <c r="E128" s="126"/>
      <c r="F128" s="126"/>
      <c r="G128" s="126"/>
      <c r="H128" s="126"/>
    </row>
    <row r="129" spans="1:8">
      <c r="A129" s="122"/>
      <c r="B129" s="123"/>
      <c r="C129" s="124"/>
      <c r="D129" s="125"/>
      <c r="E129" s="126"/>
      <c r="F129" s="126"/>
      <c r="G129" s="126"/>
      <c r="H129" s="126"/>
    </row>
    <row r="130" spans="1:8">
      <c r="A130" s="122"/>
      <c r="B130" s="123"/>
      <c r="C130" s="124"/>
      <c r="D130" s="125"/>
      <c r="E130" s="126"/>
      <c r="F130" s="126"/>
      <c r="G130" s="126"/>
      <c r="H130" s="126"/>
    </row>
    <row r="131" spans="1:8">
      <c r="A131" s="122"/>
      <c r="B131" s="123"/>
      <c r="C131" s="124"/>
      <c r="D131" s="125"/>
      <c r="E131" s="126"/>
      <c r="F131" s="126"/>
      <c r="G131" s="126"/>
      <c r="H131" s="126"/>
    </row>
    <row r="132" spans="1:8">
      <c r="A132" s="63" t="s">
        <v>120</v>
      </c>
    </row>
    <row r="133" spans="1:8">
      <c r="A133" s="63"/>
      <c r="E133" s="68" t="s">
        <v>61</v>
      </c>
      <c r="F133" s="68" t="s">
        <v>62</v>
      </c>
      <c r="G133" s="68" t="s">
        <v>63</v>
      </c>
      <c r="H133" s="68" t="s">
        <v>64</v>
      </c>
    </row>
    <row r="134" spans="1:8">
      <c r="A134" s="90" t="s">
        <v>121</v>
      </c>
      <c r="B134" s="82">
        <v>1</v>
      </c>
      <c r="C134" s="30" t="s">
        <v>29</v>
      </c>
      <c r="D134" s="9">
        <v>300000</v>
      </c>
      <c r="E134" s="29" t="s">
        <v>11</v>
      </c>
      <c r="F134" s="83">
        <f>B134*D134</f>
        <v>300000</v>
      </c>
      <c r="G134" s="9" t="s">
        <v>11</v>
      </c>
      <c r="H134" s="29" t="s">
        <v>11</v>
      </c>
    </row>
    <row r="135" spans="1:8">
      <c r="A135" s="90" t="s">
        <v>82</v>
      </c>
      <c r="B135" s="82">
        <v>1</v>
      </c>
      <c r="C135" s="30" t="s">
        <v>75</v>
      </c>
      <c r="D135" s="9">
        <v>50000</v>
      </c>
      <c r="E135" s="29" t="s">
        <v>11</v>
      </c>
      <c r="F135" s="83">
        <f>B135*D135</f>
        <v>50000</v>
      </c>
      <c r="G135" s="9" t="s">
        <v>11</v>
      </c>
      <c r="H135" s="29" t="s">
        <v>11</v>
      </c>
    </row>
    <row r="136" spans="1:8">
      <c r="A136" s="90" t="s">
        <v>68</v>
      </c>
      <c r="B136" s="84">
        <v>0.3</v>
      </c>
      <c r="C136" s="30" t="s">
        <v>69</v>
      </c>
      <c r="D136" s="9">
        <v>170000</v>
      </c>
      <c r="E136" s="29" t="s">
        <v>11</v>
      </c>
      <c r="F136" s="29" t="s">
        <v>11</v>
      </c>
      <c r="G136" s="9">
        <f>B136*D136</f>
        <v>51000</v>
      </c>
      <c r="H136" s="29" t="s">
        <v>11</v>
      </c>
    </row>
    <row r="137" spans="1:8">
      <c r="A137" s="76" t="s">
        <v>70</v>
      </c>
      <c r="B137" s="85">
        <f>ROUND((SUM(E137:H137)),0)</f>
        <v>401000</v>
      </c>
      <c r="C137" s="78" t="s">
        <v>73</v>
      </c>
      <c r="D137" s="86"/>
      <c r="E137" s="80">
        <f>SUM(E134:E136)</f>
        <v>0</v>
      </c>
      <c r="F137" s="80">
        <f>SUM(F134:F136)</f>
        <v>350000</v>
      </c>
      <c r="G137" s="80">
        <f>SUM(G134:G136)</f>
        <v>51000</v>
      </c>
      <c r="H137" s="80">
        <f>SUM(H134:H136)</f>
        <v>0</v>
      </c>
    </row>
    <row r="138" spans="1:8">
      <c r="A138" s="122"/>
      <c r="B138" s="123"/>
      <c r="C138" s="124"/>
      <c r="D138" s="125"/>
      <c r="E138" s="126"/>
      <c r="F138" s="126"/>
      <c r="G138" s="126"/>
      <c r="H138" s="126"/>
    </row>
    <row r="139" spans="1:8" s="50" customFormat="1">
      <c r="A139" s="63" t="s">
        <v>122</v>
      </c>
      <c r="B139" s="64"/>
      <c r="C139" s="65"/>
      <c r="D139" s="66"/>
      <c r="E139" s="64"/>
      <c r="F139" s="64"/>
      <c r="G139" s="64"/>
      <c r="H139" s="64"/>
    </row>
    <row r="140" spans="1:8" s="50" customFormat="1">
      <c r="A140" s="63"/>
      <c r="B140" s="64"/>
      <c r="C140" s="65"/>
      <c r="D140" s="66"/>
      <c r="E140" s="68" t="s">
        <v>61</v>
      </c>
      <c r="F140" s="68" t="s">
        <v>62</v>
      </c>
      <c r="G140" s="68" t="s">
        <v>63</v>
      </c>
      <c r="H140" s="68" t="s">
        <v>64</v>
      </c>
    </row>
    <row r="141" spans="1:8" s="50" customFormat="1">
      <c r="A141" s="6" t="s">
        <v>123</v>
      </c>
      <c r="B141" s="115">
        <v>3</v>
      </c>
      <c r="C141" s="27" t="s">
        <v>66</v>
      </c>
      <c r="D141" s="8">
        <v>22379</v>
      </c>
      <c r="E141" s="6" t="s">
        <v>11</v>
      </c>
      <c r="F141" s="127">
        <f>B141*D141</f>
        <v>67137</v>
      </c>
      <c r="G141" s="8" t="s">
        <v>11</v>
      </c>
      <c r="H141" s="6" t="s">
        <v>11</v>
      </c>
    </row>
    <row r="142" spans="1:8" s="50" customFormat="1">
      <c r="A142" s="6" t="s">
        <v>68</v>
      </c>
      <c r="B142" s="128">
        <v>0.1</v>
      </c>
      <c r="C142" s="27" t="s">
        <v>69</v>
      </c>
      <c r="D142" s="8">
        <v>170000</v>
      </c>
      <c r="E142" s="6" t="s">
        <v>11</v>
      </c>
      <c r="F142" s="6" t="s">
        <v>11</v>
      </c>
      <c r="G142" s="8">
        <f>B142*D142</f>
        <v>17000</v>
      </c>
      <c r="H142" s="6" t="s">
        <v>11</v>
      </c>
    </row>
    <row r="143" spans="1:8" s="50" customFormat="1">
      <c r="A143" s="76" t="s">
        <v>70</v>
      </c>
      <c r="B143" s="85">
        <f>ROUND((SUM(E143:H143)),0)</f>
        <v>84137</v>
      </c>
      <c r="C143" s="78" t="s">
        <v>71</v>
      </c>
      <c r="D143" s="86"/>
      <c r="E143" s="80">
        <f>SUM(E141:E142)</f>
        <v>0</v>
      </c>
      <c r="F143" s="80">
        <f>SUM(F141:F142)</f>
        <v>67137</v>
      </c>
      <c r="G143" s="80">
        <f>SUM(G141:G142)</f>
        <v>17000</v>
      </c>
      <c r="H143" s="80">
        <f>SUM(H141:H142)</f>
        <v>0</v>
      </c>
    </row>
    <row r="144" spans="1:8">
      <c r="A144" s="122"/>
      <c r="B144" s="123"/>
      <c r="C144" s="124"/>
      <c r="D144" s="125"/>
      <c r="E144" s="126"/>
      <c r="F144" s="126"/>
      <c r="G144" s="126"/>
      <c r="H144" s="126"/>
    </row>
    <row r="145" spans="1:8" s="50" customFormat="1">
      <c r="A145" s="63" t="s">
        <v>124</v>
      </c>
      <c r="B145" s="64"/>
      <c r="C145" s="65"/>
      <c r="D145" s="66"/>
      <c r="E145" s="64"/>
      <c r="F145" s="64"/>
      <c r="G145" s="64"/>
      <c r="H145" s="64"/>
    </row>
    <row r="146" spans="1:8">
      <c r="A146" s="63"/>
      <c r="E146" s="68" t="s">
        <v>61</v>
      </c>
      <c r="F146" s="68" t="s">
        <v>62</v>
      </c>
      <c r="G146" s="68" t="s">
        <v>63</v>
      </c>
      <c r="H146" s="68" t="s">
        <v>64</v>
      </c>
    </row>
    <row r="147" spans="1:8">
      <c r="A147" s="6" t="s">
        <v>125</v>
      </c>
      <c r="B147" s="115">
        <v>4</v>
      </c>
      <c r="C147" s="27" t="s">
        <v>66</v>
      </c>
      <c r="D147" s="8">
        <v>6000</v>
      </c>
      <c r="E147" s="6" t="s">
        <v>11</v>
      </c>
      <c r="F147" s="6">
        <f>B147*D147</f>
        <v>24000</v>
      </c>
      <c r="G147" s="8" t="s">
        <v>11</v>
      </c>
      <c r="H147" s="127"/>
    </row>
    <row r="148" spans="1:8">
      <c r="A148" s="6" t="s">
        <v>126</v>
      </c>
      <c r="B148" s="115">
        <v>1</v>
      </c>
      <c r="C148" s="27" t="s">
        <v>75</v>
      </c>
      <c r="D148" s="6">
        <v>1000</v>
      </c>
      <c r="E148" s="6" t="s">
        <v>11</v>
      </c>
      <c r="F148" s="6">
        <f>B148*D148</f>
        <v>1000</v>
      </c>
      <c r="G148" s="8" t="s">
        <v>11</v>
      </c>
      <c r="H148" s="8"/>
    </row>
    <row r="149" spans="1:8">
      <c r="A149" s="6" t="s">
        <v>68</v>
      </c>
      <c r="B149" s="128">
        <v>0.02</v>
      </c>
      <c r="C149" s="27" t="s">
        <v>69</v>
      </c>
      <c r="D149" s="8">
        <v>170000</v>
      </c>
      <c r="E149" s="6" t="s">
        <v>11</v>
      </c>
      <c r="F149" s="6" t="s">
        <v>11</v>
      </c>
      <c r="G149" s="8">
        <f>B149*D149</f>
        <v>3400</v>
      </c>
      <c r="H149" s="6" t="s">
        <v>11</v>
      </c>
    </row>
    <row r="150" spans="1:8">
      <c r="A150" s="76" t="s">
        <v>70</v>
      </c>
      <c r="B150" s="85">
        <f>ROUND((SUM(E150:H150)),0)</f>
        <v>28400</v>
      </c>
      <c r="C150" s="78" t="s">
        <v>18</v>
      </c>
      <c r="D150" s="86"/>
      <c r="E150" s="80">
        <f>SUM(E147:E149)</f>
        <v>0</v>
      </c>
      <c r="F150" s="80">
        <f>SUM(F147:F149)</f>
        <v>25000</v>
      </c>
      <c r="G150" s="80">
        <f>SUM(G147:G149)</f>
        <v>3400</v>
      </c>
      <c r="H150" s="80">
        <f>SUM(H147:H149)</f>
        <v>0</v>
      </c>
    </row>
    <row r="151" spans="1:8">
      <c r="A151" s="122"/>
      <c r="B151" s="123"/>
      <c r="C151" s="124"/>
      <c r="D151" s="125"/>
      <c r="E151" s="126"/>
      <c r="F151" s="126"/>
      <c r="G151" s="126"/>
      <c r="H151" s="126"/>
    </row>
    <row r="152" spans="1:8" s="50" customFormat="1">
      <c r="A152" s="63" t="s">
        <v>127</v>
      </c>
      <c r="B152" s="64"/>
      <c r="C152" s="65"/>
      <c r="D152" s="66"/>
      <c r="E152" s="64"/>
      <c r="F152" s="64"/>
      <c r="G152" s="64"/>
      <c r="H152" s="64"/>
    </row>
    <row r="153" spans="1:8" s="50" customFormat="1">
      <c r="A153" s="63"/>
      <c r="B153" s="64"/>
      <c r="C153" s="65"/>
      <c r="D153" s="66"/>
      <c r="E153" s="68" t="s">
        <v>61</v>
      </c>
      <c r="F153" s="68" t="s">
        <v>62</v>
      </c>
      <c r="G153" s="68" t="s">
        <v>63</v>
      </c>
      <c r="H153" s="68" t="s">
        <v>64</v>
      </c>
    </row>
    <row r="154" spans="1:8" s="50" customFormat="1">
      <c r="A154" s="6" t="s">
        <v>128</v>
      </c>
      <c r="B154" s="115">
        <v>1</v>
      </c>
      <c r="C154" s="27" t="s">
        <v>49</v>
      </c>
      <c r="D154" s="8">
        <v>480715</v>
      </c>
      <c r="E154" s="6" t="s">
        <v>11</v>
      </c>
      <c r="F154" s="6">
        <f>B154*D154</f>
        <v>480715</v>
      </c>
      <c r="G154" s="8" t="s">
        <v>11</v>
      </c>
      <c r="H154" s="127"/>
    </row>
    <row r="155" spans="1:8" s="50" customFormat="1">
      <c r="A155" s="129" t="s">
        <v>70</v>
      </c>
      <c r="B155" s="85">
        <f>ROUND((SUM(E155:H155)),0)</f>
        <v>480715</v>
      </c>
      <c r="C155" s="130" t="s">
        <v>73</v>
      </c>
      <c r="D155" s="131"/>
      <c r="E155" s="132">
        <f>SUM(E154:E154)</f>
        <v>0</v>
      </c>
      <c r="F155" s="132">
        <f>SUM(F154:F154)</f>
        <v>480715</v>
      </c>
      <c r="G155" s="132">
        <f>SUM(G154:G154)</f>
        <v>0</v>
      </c>
      <c r="H155" s="132">
        <f>SUM(H154:H154)</f>
        <v>0</v>
      </c>
    </row>
    <row r="156" spans="1:8">
      <c r="A156" s="122"/>
      <c r="B156" s="123"/>
      <c r="C156" s="124"/>
      <c r="D156" s="125"/>
      <c r="E156" s="126"/>
      <c r="F156" s="126"/>
      <c r="G156" s="126"/>
      <c r="H156" s="126"/>
    </row>
    <row r="157" spans="1:8" s="50" customFormat="1">
      <c r="A157" s="63" t="s">
        <v>129</v>
      </c>
      <c r="B157" s="64"/>
      <c r="C157" s="65"/>
      <c r="D157" s="66"/>
      <c r="E157" s="64"/>
      <c r="F157" s="64"/>
      <c r="G157" s="64"/>
      <c r="H157" s="64"/>
    </row>
    <row r="158" spans="1:8">
      <c r="A158" s="63"/>
      <c r="E158" s="68" t="s">
        <v>61</v>
      </c>
      <c r="F158" s="68" t="s">
        <v>62</v>
      </c>
      <c r="G158" s="68" t="s">
        <v>63</v>
      </c>
      <c r="H158" s="68" t="s">
        <v>64</v>
      </c>
    </row>
    <row r="159" spans="1:8">
      <c r="A159" s="6" t="s">
        <v>130</v>
      </c>
      <c r="B159" s="115">
        <v>1</v>
      </c>
      <c r="C159" s="27" t="s">
        <v>131</v>
      </c>
      <c r="D159" s="8">
        <v>200000</v>
      </c>
      <c r="E159" s="6" t="s">
        <v>11</v>
      </c>
      <c r="F159" s="6">
        <f>B159*D159</f>
        <v>200000</v>
      </c>
      <c r="G159" s="8" t="s">
        <v>11</v>
      </c>
      <c r="H159" s="127"/>
    </row>
    <row r="160" spans="1:8">
      <c r="A160" s="6" t="s">
        <v>132</v>
      </c>
      <c r="B160" s="115">
        <v>1</v>
      </c>
      <c r="C160" s="27" t="s">
        <v>133</v>
      </c>
      <c r="D160" s="8">
        <v>25300</v>
      </c>
      <c r="E160" s="6" t="s">
        <v>11</v>
      </c>
      <c r="F160" s="8">
        <f>B160*D160</f>
        <v>25300</v>
      </c>
      <c r="G160" s="8" t="s">
        <v>11</v>
      </c>
      <c r="H160" s="6" t="s">
        <v>11</v>
      </c>
    </row>
    <row r="161" spans="1:8">
      <c r="A161" s="6" t="s">
        <v>68</v>
      </c>
      <c r="B161" s="133">
        <v>0.3</v>
      </c>
      <c r="C161" s="27" t="s">
        <v>69</v>
      </c>
      <c r="D161" s="8">
        <v>170000</v>
      </c>
      <c r="E161" s="6" t="s">
        <v>11</v>
      </c>
      <c r="F161" s="6" t="s">
        <v>11</v>
      </c>
      <c r="G161" s="8">
        <f>B161*D161</f>
        <v>51000</v>
      </c>
      <c r="H161" s="6" t="s">
        <v>11</v>
      </c>
    </row>
    <row r="162" spans="1:8">
      <c r="A162" s="76" t="s">
        <v>70</v>
      </c>
      <c r="B162" s="85">
        <f>ROUND((SUM(E162:H162)),0)</f>
        <v>276300</v>
      </c>
      <c r="C162" s="78" t="s">
        <v>83</v>
      </c>
      <c r="D162" s="86"/>
      <c r="E162" s="80">
        <f>SUM(E159:E161)</f>
        <v>0</v>
      </c>
      <c r="F162" s="80">
        <f>SUM(F159:F161)</f>
        <v>225300</v>
      </c>
      <c r="G162" s="80">
        <f>SUM(G159:G161)</f>
        <v>51000</v>
      </c>
      <c r="H162" s="80">
        <f>SUM(H159:H161)</f>
        <v>0</v>
      </c>
    </row>
    <row r="163" spans="1:8">
      <c r="A163" s="122"/>
      <c r="B163" s="123"/>
      <c r="C163" s="124"/>
      <c r="D163" s="125"/>
      <c r="E163" s="126"/>
      <c r="F163" s="126"/>
      <c r="G163" s="126"/>
      <c r="H163" s="126"/>
    </row>
    <row r="164" spans="1:8" s="50" customFormat="1">
      <c r="A164" s="63" t="s">
        <v>134</v>
      </c>
      <c r="B164" s="64"/>
      <c r="C164" s="65"/>
      <c r="D164" s="66"/>
      <c r="E164" s="64"/>
      <c r="F164" s="64"/>
      <c r="G164" s="64"/>
      <c r="H164" s="64"/>
    </row>
    <row r="165" spans="1:8">
      <c r="A165" s="63"/>
      <c r="E165" s="68" t="s">
        <v>61</v>
      </c>
      <c r="F165" s="68" t="s">
        <v>62</v>
      </c>
      <c r="G165" s="68" t="s">
        <v>63</v>
      </c>
      <c r="H165" s="68" t="s">
        <v>64</v>
      </c>
    </row>
    <row r="166" spans="1:8">
      <c r="A166" s="6" t="s">
        <v>135</v>
      </c>
      <c r="B166" s="115">
        <v>1</v>
      </c>
      <c r="C166" s="27" t="s">
        <v>49</v>
      </c>
      <c r="D166" s="8">
        <v>6312307</v>
      </c>
      <c r="E166" s="6" t="s">
        <v>11</v>
      </c>
      <c r="F166" s="127">
        <f>B166*D166</f>
        <v>6312307</v>
      </c>
      <c r="G166" s="8" t="s">
        <v>11</v>
      </c>
      <c r="H166" s="6" t="s">
        <v>11</v>
      </c>
    </row>
    <row r="167" spans="1:8">
      <c r="A167" s="6" t="s">
        <v>68</v>
      </c>
      <c r="B167" s="115">
        <v>2</v>
      </c>
      <c r="C167" s="27" t="s">
        <v>69</v>
      </c>
      <c r="D167" s="8">
        <v>170000</v>
      </c>
      <c r="E167" s="6" t="s">
        <v>11</v>
      </c>
      <c r="F167" s="6" t="s">
        <v>11</v>
      </c>
      <c r="G167" s="8">
        <f>B167*D167</f>
        <v>340000</v>
      </c>
      <c r="H167" s="6" t="s">
        <v>11</v>
      </c>
    </row>
    <row r="168" spans="1:8">
      <c r="A168" s="76" t="s">
        <v>70</v>
      </c>
      <c r="B168" s="85">
        <f>ROUND((SUM(E168:H168)),0)</f>
        <v>6652307</v>
      </c>
      <c r="C168" s="78" t="s">
        <v>73</v>
      </c>
      <c r="D168" s="86"/>
      <c r="E168" s="80">
        <f>SUM(E166:E167)</f>
        <v>0</v>
      </c>
      <c r="F168" s="80">
        <f>SUM(F166:F167)</f>
        <v>6312307</v>
      </c>
      <c r="G168" s="80">
        <f>SUM(G166:G167)</f>
        <v>340000</v>
      </c>
      <c r="H168" s="80">
        <f>SUM(H166:H167)</f>
        <v>0</v>
      </c>
    </row>
    <row r="169" spans="1:8">
      <c r="A169" s="122"/>
      <c r="B169" s="123"/>
      <c r="C169" s="124"/>
      <c r="D169" s="125"/>
      <c r="E169" s="126"/>
      <c r="F169" s="126"/>
      <c r="G169" s="126"/>
      <c r="H169" s="126"/>
    </row>
    <row r="170" spans="1:8" s="50" customFormat="1">
      <c r="A170" s="63" t="s">
        <v>136</v>
      </c>
      <c r="B170" s="64"/>
      <c r="C170" s="65"/>
      <c r="D170" s="66"/>
      <c r="E170" s="64"/>
      <c r="F170" s="64"/>
      <c r="G170" s="64"/>
      <c r="H170" s="64"/>
    </row>
    <row r="171" spans="1:8">
      <c r="A171" s="63"/>
      <c r="E171" s="68" t="s">
        <v>61</v>
      </c>
      <c r="F171" s="68" t="s">
        <v>62</v>
      </c>
      <c r="G171" s="68" t="s">
        <v>63</v>
      </c>
      <c r="H171" s="68" t="s">
        <v>64</v>
      </c>
    </row>
    <row r="172" spans="1:8">
      <c r="A172" s="6" t="s">
        <v>137</v>
      </c>
      <c r="B172" s="115">
        <v>1</v>
      </c>
      <c r="C172" s="27" t="s">
        <v>49</v>
      </c>
      <c r="D172" s="8">
        <v>3503200</v>
      </c>
      <c r="E172" s="6" t="s">
        <v>11</v>
      </c>
      <c r="F172" s="127">
        <f>B172*D172</f>
        <v>3503200</v>
      </c>
      <c r="G172" s="8" t="s">
        <v>11</v>
      </c>
      <c r="H172" s="6" t="s">
        <v>11</v>
      </c>
    </row>
    <row r="173" spans="1:8">
      <c r="A173" s="6" t="s">
        <v>68</v>
      </c>
      <c r="B173" s="115">
        <v>2</v>
      </c>
      <c r="C173" s="27" t="s">
        <v>69</v>
      </c>
      <c r="D173" s="8">
        <v>170000</v>
      </c>
      <c r="E173" s="6" t="s">
        <v>11</v>
      </c>
      <c r="F173" s="6" t="s">
        <v>11</v>
      </c>
      <c r="G173" s="8">
        <f>B173*D173</f>
        <v>340000</v>
      </c>
      <c r="H173" s="6" t="s">
        <v>11</v>
      </c>
    </row>
    <row r="174" spans="1:8">
      <c r="A174" s="76" t="s">
        <v>70</v>
      </c>
      <c r="B174" s="85">
        <f>ROUND((SUM(E174:H174)),0)</f>
        <v>3843200</v>
      </c>
      <c r="C174" s="78" t="s">
        <v>73</v>
      </c>
      <c r="D174" s="86"/>
      <c r="E174" s="80">
        <f>SUM(E172:E173)</f>
        <v>0</v>
      </c>
      <c r="F174" s="80">
        <f>SUM(F172:F173)</f>
        <v>3503200</v>
      </c>
      <c r="G174" s="80">
        <f>SUM(G172:G173)</f>
        <v>340000</v>
      </c>
      <c r="H174" s="80">
        <f>SUM(H172:H173)</f>
        <v>0</v>
      </c>
    </row>
    <row r="175" spans="1:8">
      <c r="A175" s="122"/>
      <c r="B175" s="123"/>
      <c r="C175" s="124"/>
      <c r="D175" s="125"/>
      <c r="E175" s="126"/>
      <c r="F175" s="126"/>
      <c r="G175" s="126"/>
      <c r="H175" s="126"/>
    </row>
    <row r="176" spans="1:8" s="50" customFormat="1">
      <c r="A176" s="63" t="s">
        <v>138</v>
      </c>
      <c r="B176" s="64"/>
      <c r="C176" s="65"/>
      <c r="D176" s="66"/>
      <c r="E176" s="64"/>
      <c r="F176" s="64"/>
      <c r="G176" s="64"/>
      <c r="H176" s="64"/>
    </row>
    <row r="177" spans="1:8" s="50" customFormat="1">
      <c r="A177" s="63"/>
      <c r="B177" s="64"/>
      <c r="C177" s="65"/>
      <c r="D177" s="66"/>
      <c r="E177" s="68" t="s">
        <v>61</v>
      </c>
      <c r="F177" s="68" t="s">
        <v>62</v>
      </c>
      <c r="G177" s="68" t="s">
        <v>63</v>
      </c>
      <c r="H177" s="68" t="s">
        <v>64</v>
      </c>
    </row>
    <row r="178" spans="1:8" s="50" customFormat="1">
      <c r="A178" s="6" t="s">
        <v>139</v>
      </c>
      <c r="B178" s="115">
        <v>1</v>
      </c>
      <c r="C178" s="27" t="s">
        <v>49</v>
      </c>
      <c r="D178" s="8">
        <v>4830609</v>
      </c>
      <c r="E178" s="6" t="s">
        <v>11</v>
      </c>
      <c r="F178" s="127">
        <f>B178*D178</f>
        <v>4830609</v>
      </c>
      <c r="G178" s="8" t="s">
        <v>11</v>
      </c>
      <c r="H178" s="6" t="s">
        <v>11</v>
      </c>
    </row>
    <row r="179" spans="1:8" s="50" customFormat="1">
      <c r="A179" s="6" t="s">
        <v>68</v>
      </c>
      <c r="B179" s="116">
        <v>2</v>
      </c>
      <c r="C179" s="27" t="s">
        <v>69</v>
      </c>
      <c r="D179" s="8">
        <v>170000</v>
      </c>
      <c r="E179" s="6" t="s">
        <v>11</v>
      </c>
      <c r="F179" s="6" t="s">
        <v>11</v>
      </c>
      <c r="G179" s="8">
        <f>B179*D179</f>
        <v>340000</v>
      </c>
      <c r="H179" s="6" t="s">
        <v>11</v>
      </c>
    </row>
    <row r="180" spans="1:8" s="50" customFormat="1">
      <c r="A180" s="76" t="s">
        <v>70</v>
      </c>
      <c r="B180" s="85">
        <f>ROUND((SUM(E180:H180)),0)</f>
        <v>5170609</v>
      </c>
      <c r="C180" s="78" t="s">
        <v>73</v>
      </c>
      <c r="D180" s="86"/>
      <c r="E180" s="80">
        <f>SUM(E178:E179)</f>
        <v>0</v>
      </c>
      <c r="F180" s="80">
        <f>SUM(F178:F179)</f>
        <v>4830609</v>
      </c>
      <c r="G180" s="80">
        <f>SUM(G178:G179)</f>
        <v>340000</v>
      </c>
      <c r="H180" s="80">
        <f>SUM(H178:H179)</f>
        <v>0</v>
      </c>
    </row>
    <row r="181" spans="1:8">
      <c r="A181" s="122"/>
      <c r="B181" s="123"/>
      <c r="C181" s="124"/>
      <c r="D181" s="125"/>
      <c r="E181" s="126"/>
      <c r="F181" s="126"/>
      <c r="G181" s="126"/>
      <c r="H181" s="126"/>
    </row>
    <row r="182" spans="1:8" s="50" customFormat="1"/>
    <row r="183" spans="1:8" s="50" customFormat="1"/>
    <row r="184" spans="1:8" s="50" customFormat="1"/>
    <row r="185" spans="1:8" s="50" customFormat="1"/>
    <row r="186" spans="1:8" s="50" customFormat="1"/>
    <row r="187" spans="1:8">
      <c r="A187" s="122"/>
      <c r="B187" s="123"/>
      <c r="C187" s="124"/>
      <c r="D187" s="125"/>
      <c r="E187" s="126"/>
      <c r="F187" s="126"/>
      <c r="G187" s="126"/>
      <c r="H187" s="126"/>
    </row>
    <row r="188" spans="1:8">
      <c r="A188" s="63" t="s">
        <v>142</v>
      </c>
    </row>
    <row r="189" spans="1:8">
      <c r="A189" s="63"/>
      <c r="E189" s="68" t="s">
        <v>61</v>
      </c>
      <c r="F189" s="68" t="s">
        <v>62</v>
      </c>
      <c r="G189" s="68" t="s">
        <v>63</v>
      </c>
      <c r="H189" s="68" t="s">
        <v>64</v>
      </c>
    </row>
    <row r="190" spans="1:8" s="121" customFormat="1" ht="14.25">
      <c r="A190" s="90" t="s">
        <v>143</v>
      </c>
      <c r="B190" s="82">
        <v>1</v>
      </c>
      <c r="C190" s="30" t="s">
        <v>8</v>
      </c>
      <c r="D190" s="9">
        <v>1000000</v>
      </c>
      <c r="E190" s="29" t="s">
        <v>11</v>
      </c>
      <c r="F190" s="83">
        <f t="shared" ref="F190:F195" si="2">B190*D190</f>
        <v>1000000</v>
      </c>
      <c r="G190" s="9" t="s">
        <v>11</v>
      </c>
      <c r="H190" s="29" t="s">
        <v>11</v>
      </c>
    </row>
    <row r="191" spans="1:8" s="121" customFormat="1" ht="14.25">
      <c r="A191" s="90" t="s">
        <v>144</v>
      </c>
      <c r="B191" s="82">
        <v>1</v>
      </c>
      <c r="C191" s="30" t="s">
        <v>8</v>
      </c>
      <c r="D191" s="9">
        <v>275000</v>
      </c>
      <c r="E191" s="29" t="s">
        <v>11</v>
      </c>
      <c r="F191" s="83">
        <f t="shared" si="2"/>
        <v>275000</v>
      </c>
      <c r="G191" s="9" t="s">
        <v>11</v>
      </c>
      <c r="H191" s="29" t="s">
        <v>11</v>
      </c>
    </row>
    <row r="192" spans="1:8" s="121" customFormat="1" ht="14.25">
      <c r="A192" s="90" t="s">
        <v>145</v>
      </c>
      <c r="B192" s="82">
        <v>1</v>
      </c>
      <c r="C192" s="30" t="s">
        <v>8</v>
      </c>
      <c r="D192" s="9">
        <v>150000</v>
      </c>
      <c r="E192" s="29" t="s">
        <v>11</v>
      </c>
      <c r="F192" s="83">
        <f t="shared" si="2"/>
        <v>150000</v>
      </c>
      <c r="G192" s="9" t="s">
        <v>11</v>
      </c>
      <c r="H192" s="29" t="s">
        <v>11</v>
      </c>
    </row>
    <row r="193" spans="1:8" s="121" customFormat="1" ht="14.25">
      <c r="A193" s="90" t="s">
        <v>146</v>
      </c>
      <c r="B193" s="82">
        <v>1</v>
      </c>
      <c r="C193" s="30" t="s">
        <v>8</v>
      </c>
      <c r="D193" s="9">
        <v>115000</v>
      </c>
      <c r="E193" s="29"/>
      <c r="F193" s="83">
        <f t="shared" si="2"/>
        <v>115000</v>
      </c>
      <c r="G193" s="9"/>
      <c r="H193" s="29"/>
    </row>
    <row r="194" spans="1:8" s="134" customFormat="1" ht="25.5">
      <c r="A194" s="92" t="s">
        <v>90</v>
      </c>
      <c r="B194" s="93">
        <v>1</v>
      </c>
      <c r="C194" s="41" t="s">
        <v>8</v>
      </c>
      <c r="D194" s="42">
        <v>4000000</v>
      </c>
      <c r="E194" s="94"/>
      <c r="F194" s="95">
        <f t="shared" si="2"/>
        <v>4000000</v>
      </c>
      <c r="G194" s="42"/>
      <c r="H194" s="94"/>
    </row>
    <row r="195" spans="1:8" s="121" customFormat="1" ht="14.25">
      <c r="A195" s="90" t="s">
        <v>147</v>
      </c>
      <c r="B195" s="82">
        <v>1</v>
      </c>
      <c r="C195" s="30" t="s">
        <v>8</v>
      </c>
      <c r="D195" s="9">
        <v>8150000</v>
      </c>
      <c r="E195" s="29"/>
      <c r="F195" s="83">
        <f t="shared" si="2"/>
        <v>8150000</v>
      </c>
      <c r="G195" s="9"/>
      <c r="H195" s="29"/>
    </row>
    <row r="196" spans="1:8" s="121" customFormat="1" ht="14.25">
      <c r="A196" s="90" t="s">
        <v>68</v>
      </c>
      <c r="B196" s="84">
        <v>2.5</v>
      </c>
      <c r="C196" s="30" t="s">
        <v>69</v>
      </c>
      <c r="D196" s="9">
        <v>170000</v>
      </c>
      <c r="E196" s="29" t="s">
        <v>11</v>
      </c>
      <c r="F196" s="29" t="s">
        <v>11</v>
      </c>
      <c r="G196" s="9">
        <f>B196*D196</f>
        <v>425000</v>
      </c>
      <c r="H196" s="29" t="s">
        <v>11</v>
      </c>
    </row>
    <row r="197" spans="1:8">
      <c r="A197" s="76" t="s">
        <v>70</v>
      </c>
      <c r="B197" s="85">
        <f>ROUND((SUM(E197:H197)),0)</f>
        <v>14115000</v>
      </c>
      <c r="C197" s="78" t="s">
        <v>73</v>
      </c>
      <c r="D197" s="86"/>
      <c r="E197" s="80">
        <f>SUM(E190:E196)</f>
        <v>0</v>
      </c>
      <c r="F197" s="80">
        <f>SUM(F190:F196)</f>
        <v>13690000</v>
      </c>
      <c r="G197" s="80">
        <f>SUM(G190:G196)</f>
        <v>425000</v>
      </c>
      <c r="H197" s="80">
        <f>SUM(H190:H196)</f>
        <v>0</v>
      </c>
    </row>
    <row r="198" spans="1:8">
      <c r="A198" s="122"/>
      <c r="B198" s="123"/>
      <c r="C198" s="124"/>
      <c r="D198" s="125"/>
      <c r="E198" s="126"/>
      <c r="F198" s="126"/>
      <c r="G198" s="126"/>
      <c r="H198" s="126"/>
    </row>
    <row r="205" spans="1:8">
      <c r="A205" s="122"/>
      <c r="B205" s="123"/>
      <c r="C205" s="124"/>
      <c r="D205" s="125"/>
      <c r="E205" s="126"/>
      <c r="F205" s="126"/>
      <c r="G205" s="126"/>
      <c r="H205" s="126"/>
    </row>
    <row r="206" spans="1:8">
      <c r="A206" s="63" t="s">
        <v>150</v>
      </c>
    </row>
    <row r="207" spans="1:8">
      <c r="A207" s="63"/>
      <c r="E207" s="68" t="s">
        <v>61</v>
      </c>
      <c r="F207" s="68" t="s">
        <v>62</v>
      </c>
      <c r="G207" s="68" t="s">
        <v>63</v>
      </c>
      <c r="H207" s="68" t="s">
        <v>64</v>
      </c>
    </row>
    <row r="208" spans="1:8" s="121" customFormat="1" ht="14.25">
      <c r="A208" s="29" t="s">
        <v>149</v>
      </c>
      <c r="B208" s="82">
        <v>8</v>
      </c>
      <c r="C208" s="30" t="s">
        <v>66</v>
      </c>
      <c r="D208" s="9">
        <v>8500</v>
      </c>
      <c r="E208" s="29" t="s">
        <v>11</v>
      </c>
      <c r="F208" s="83">
        <f>B208*D208</f>
        <v>68000</v>
      </c>
      <c r="G208" s="9" t="s">
        <v>11</v>
      </c>
      <c r="H208" s="29" t="s">
        <v>11</v>
      </c>
    </row>
    <row r="209" spans="1:8" s="121" customFormat="1" ht="14.25">
      <c r="A209" s="90" t="s">
        <v>67</v>
      </c>
      <c r="B209" s="82">
        <v>1</v>
      </c>
      <c r="C209" s="30" t="s">
        <v>66</v>
      </c>
      <c r="D209" s="9">
        <v>6200</v>
      </c>
      <c r="E209" s="29" t="s">
        <v>11</v>
      </c>
      <c r="F209" s="83">
        <f>B209*D209</f>
        <v>6200</v>
      </c>
      <c r="G209" s="9" t="s">
        <v>11</v>
      </c>
      <c r="H209" s="29" t="s">
        <v>11</v>
      </c>
    </row>
    <row r="210" spans="1:8" s="121" customFormat="1" ht="14.25">
      <c r="A210" s="90" t="s">
        <v>68</v>
      </c>
      <c r="B210" s="96">
        <v>0.106</v>
      </c>
      <c r="C210" s="30" t="s">
        <v>69</v>
      </c>
      <c r="D210" s="9">
        <v>170000</v>
      </c>
      <c r="E210" s="29" t="s">
        <v>11</v>
      </c>
      <c r="F210" s="29" t="s">
        <v>11</v>
      </c>
      <c r="G210" s="9">
        <f>B210*D210</f>
        <v>18020</v>
      </c>
      <c r="H210" s="29" t="s">
        <v>11</v>
      </c>
    </row>
    <row r="211" spans="1:8">
      <c r="A211" s="76" t="s">
        <v>70</v>
      </c>
      <c r="B211" s="85">
        <f>ROUND((SUM(E211:H211)),0)</f>
        <v>92220</v>
      </c>
      <c r="C211" s="78" t="s">
        <v>71</v>
      </c>
      <c r="D211" s="86"/>
      <c r="E211" s="80">
        <f>SUM(E208:E210)</f>
        <v>0</v>
      </c>
      <c r="F211" s="80">
        <f>SUM(F208:F210)</f>
        <v>74200</v>
      </c>
      <c r="G211" s="80">
        <f>SUM(G208:G210)</f>
        <v>18020</v>
      </c>
      <c r="H211" s="80">
        <f>SUM(H208:H210)</f>
        <v>0</v>
      </c>
    </row>
    <row r="212" spans="1:8">
      <c r="A212" s="122"/>
      <c r="B212" s="123"/>
      <c r="C212" s="124"/>
      <c r="D212" s="125"/>
      <c r="E212" s="126"/>
      <c r="F212" s="126"/>
      <c r="G212" s="126"/>
      <c r="H212" s="126"/>
    </row>
    <row r="213" spans="1:8" s="50" customFormat="1">
      <c r="A213" s="63" t="s">
        <v>151</v>
      </c>
      <c r="B213" s="64"/>
      <c r="C213" s="65"/>
      <c r="D213" s="66"/>
      <c r="E213" s="64"/>
      <c r="F213" s="64"/>
      <c r="G213" s="64"/>
      <c r="H213" s="64"/>
    </row>
    <row r="214" spans="1:8">
      <c r="A214" s="63"/>
      <c r="E214" s="68" t="s">
        <v>61</v>
      </c>
      <c r="F214" s="68" t="s">
        <v>62</v>
      </c>
      <c r="G214" s="68" t="s">
        <v>63</v>
      </c>
      <c r="H214" s="68" t="s">
        <v>64</v>
      </c>
    </row>
    <row r="215" spans="1:8">
      <c r="A215" s="6" t="s">
        <v>152</v>
      </c>
      <c r="B215" s="115">
        <v>6</v>
      </c>
      <c r="C215" s="27" t="s">
        <v>49</v>
      </c>
      <c r="D215" s="8">
        <v>115000</v>
      </c>
      <c r="E215" s="6" t="s">
        <v>11</v>
      </c>
      <c r="F215" s="127">
        <f>B215*D215</f>
        <v>690000</v>
      </c>
      <c r="G215" s="8" t="s">
        <v>11</v>
      </c>
      <c r="H215" s="6" t="s">
        <v>11</v>
      </c>
    </row>
    <row r="216" spans="1:8">
      <c r="A216" s="6" t="s">
        <v>153</v>
      </c>
      <c r="B216" s="115">
        <v>40</v>
      </c>
      <c r="C216" s="27" t="s">
        <v>66</v>
      </c>
      <c r="D216" s="8">
        <v>17693</v>
      </c>
      <c r="E216" s="6" t="s">
        <v>11</v>
      </c>
      <c r="F216" s="127">
        <f>B216*D216</f>
        <v>707720</v>
      </c>
      <c r="G216" s="8" t="s">
        <v>11</v>
      </c>
      <c r="H216" s="6" t="s">
        <v>11</v>
      </c>
    </row>
    <row r="217" spans="1:8">
      <c r="A217" s="6" t="s">
        <v>80</v>
      </c>
      <c r="B217" s="115">
        <v>840</v>
      </c>
      <c r="C217" s="27" t="s">
        <v>154</v>
      </c>
      <c r="D217" s="6">
        <v>300</v>
      </c>
      <c r="E217" s="6" t="s">
        <v>11</v>
      </c>
      <c r="F217" s="127">
        <f>B217*D217</f>
        <v>252000</v>
      </c>
      <c r="G217" s="8" t="s">
        <v>11</v>
      </c>
      <c r="H217" s="6" t="s">
        <v>11</v>
      </c>
    </row>
    <row r="218" spans="1:8">
      <c r="A218" s="6" t="s">
        <v>155</v>
      </c>
      <c r="B218" s="115">
        <v>6</v>
      </c>
      <c r="C218" s="27" t="s">
        <v>49</v>
      </c>
      <c r="D218" s="8">
        <v>70000</v>
      </c>
      <c r="E218" s="6" t="s">
        <v>11</v>
      </c>
      <c r="F218" s="127">
        <f>B218*D218</f>
        <v>420000</v>
      </c>
      <c r="G218" s="8" t="s">
        <v>11</v>
      </c>
      <c r="H218" s="6" t="s">
        <v>11</v>
      </c>
    </row>
    <row r="219" spans="1:8">
      <c r="A219" s="6" t="s">
        <v>68</v>
      </c>
      <c r="B219" s="115">
        <v>4</v>
      </c>
      <c r="C219" s="27" t="s">
        <v>69</v>
      </c>
      <c r="D219" s="8">
        <v>170000</v>
      </c>
      <c r="E219" s="6" t="s">
        <v>11</v>
      </c>
      <c r="F219" s="6" t="s">
        <v>11</v>
      </c>
      <c r="G219" s="8">
        <f>B219*D219</f>
        <v>680000</v>
      </c>
      <c r="H219" s="6" t="s">
        <v>11</v>
      </c>
    </row>
    <row r="220" spans="1:8">
      <c r="A220" s="76" t="s">
        <v>70</v>
      </c>
      <c r="B220" s="85">
        <f>ROUND((SUM(E220:H220)),0)</f>
        <v>2749720</v>
      </c>
      <c r="C220" s="78" t="s">
        <v>73</v>
      </c>
      <c r="D220" s="86"/>
      <c r="E220" s="80">
        <f>SUM(E215:E219)</f>
        <v>0</v>
      </c>
      <c r="F220" s="80">
        <f>SUM(F215:F219)</f>
        <v>2069720</v>
      </c>
      <c r="G220" s="80">
        <f>SUM(G215:G219)</f>
        <v>680000</v>
      </c>
      <c r="H220" s="80">
        <f>SUM(H215:H219)</f>
        <v>0</v>
      </c>
    </row>
    <row r="221" spans="1:8">
      <c r="A221" s="122"/>
      <c r="B221" s="123"/>
      <c r="C221" s="124"/>
      <c r="D221" s="125"/>
      <c r="E221" s="126"/>
      <c r="F221" s="126"/>
      <c r="G221" s="126"/>
      <c r="H221" s="126"/>
    </row>
    <row r="222" spans="1:8">
      <c r="A222" s="4"/>
      <c r="B222" s="4"/>
      <c r="C222" s="4"/>
      <c r="D222" s="4"/>
      <c r="E222" s="4"/>
      <c r="F222" s="4"/>
      <c r="G222" s="4"/>
      <c r="H222" s="4"/>
    </row>
    <row r="223" spans="1:8">
      <c r="A223" s="4"/>
      <c r="B223" s="4"/>
      <c r="C223" s="4"/>
      <c r="D223" s="4"/>
      <c r="E223" s="4"/>
      <c r="F223" s="4"/>
      <c r="G223" s="4"/>
      <c r="H223" s="4"/>
    </row>
    <row r="224" spans="1:8">
      <c r="A224" s="4"/>
      <c r="B224" s="4"/>
      <c r="C224" s="4"/>
      <c r="D224" s="4"/>
      <c r="E224" s="4"/>
      <c r="F224" s="4"/>
      <c r="G224" s="4"/>
      <c r="H224" s="4"/>
    </row>
    <row r="225" spans="1:8">
      <c r="A225" s="4"/>
      <c r="B225" s="4"/>
      <c r="C225" s="4"/>
      <c r="D225" s="4"/>
      <c r="E225" s="4"/>
      <c r="F225" s="4"/>
      <c r="G225" s="4"/>
      <c r="H225" s="4"/>
    </row>
    <row r="226" spans="1:8">
      <c r="A226" s="4"/>
      <c r="B226" s="4"/>
      <c r="C226" s="4"/>
      <c r="D226" s="4"/>
      <c r="E226" s="4"/>
      <c r="F226" s="4"/>
      <c r="G226" s="4"/>
      <c r="H226" s="4"/>
    </row>
    <row r="227" spans="1:8">
      <c r="A227" s="4"/>
      <c r="B227" s="4"/>
      <c r="C227" s="4"/>
      <c r="D227" s="4"/>
      <c r="E227" s="4"/>
      <c r="F227" s="4"/>
      <c r="G227" s="4"/>
      <c r="H227" s="4"/>
    </row>
    <row r="228" spans="1:8">
      <c r="A228" s="4"/>
      <c r="B228" s="4"/>
      <c r="C228" s="4"/>
      <c r="D228" s="4"/>
      <c r="E228" s="4"/>
      <c r="F228" s="4"/>
      <c r="G228" s="4"/>
      <c r="H228" s="4"/>
    </row>
    <row r="229" spans="1:8">
      <c r="A229" s="4"/>
      <c r="B229" s="4"/>
      <c r="C229" s="4"/>
      <c r="D229" s="4"/>
      <c r="E229" s="4"/>
      <c r="F229" s="4"/>
      <c r="G229" s="4"/>
      <c r="H229" s="4"/>
    </row>
    <row r="230" spans="1:8">
      <c r="A230" s="4"/>
      <c r="B230" s="4"/>
      <c r="C230" s="4"/>
      <c r="D230" s="4"/>
      <c r="E230" s="4"/>
      <c r="F230" s="4"/>
      <c r="G230" s="4"/>
      <c r="H230" s="4"/>
    </row>
    <row r="231" spans="1:8">
      <c r="A231" s="4"/>
      <c r="B231" s="4"/>
      <c r="C231" s="4"/>
      <c r="D231" s="4"/>
      <c r="E231" s="4"/>
      <c r="F231" s="4"/>
      <c r="G231" s="4"/>
      <c r="H231" s="4"/>
    </row>
    <row r="232" spans="1:8">
      <c r="A232" s="4"/>
      <c r="B232" s="4"/>
      <c r="C232" s="4"/>
      <c r="D232" s="4"/>
      <c r="E232" s="4"/>
      <c r="F232" s="4"/>
      <c r="G232" s="4"/>
      <c r="H232" s="4"/>
    </row>
    <row r="233" spans="1:8" s="134" customFormat="1" ht="14.25"/>
    <row r="234" spans="1:8" s="121" customFormat="1" ht="14.25"/>
    <row r="235" spans="1:8">
      <c r="A235" s="4"/>
      <c r="B235" s="4"/>
      <c r="C235" s="4"/>
      <c r="D235" s="4"/>
      <c r="E235" s="4"/>
      <c r="F235" s="4"/>
      <c r="G235" s="4"/>
      <c r="H235" s="4"/>
    </row>
    <row r="236" spans="1:8">
      <c r="A236" s="4"/>
      <c r="B236" s="4"/>
      <c r="C236" s="4"/>
      <c r="D236" s="4"/>
      <c r="E236" s="4"/>
      <c r="F236" s="4"/>
      <c r="G236" s="4"/>
      <c r="H236" s="4"/>
    </row>
    <row r="237" spans="1:8">
      <c r="A237" s="122"/>
      <c r="B237" s="123"/>
      <c r="C237" s="124"/>
      <c r="D237" s="125"/>
      <c r="E237" s="126"/>
      <c r="F237" s="126"/>
      <c r="G237" s="126"/>
      <c r="H237" s="126"/>
    </row>
    <row r="238" spans="1:8">
      <c r="A238" s="63" t="s">
        <v>321</v>
      </c>
    </row>
    <row r="239" spans="1:8">
      <c r="A239" s="63"/>
      <c r="E239" s="68" t="s">
        <v>61</v>
      </c>
      <c r="F239" s="68" t="s">
        <v>62</v>
      </c>
      <c r="G239" s="68" t="s">
        <v>63</v>
      </c>
      <c r="H239" s="68" t="s">
        <v>64</v>
      </c>
    </row>
    <row r="240" spans="1:8">
      <c r="A240" s="29" t="s">
        <v>167</v>
      </c>
      <c r="B240" s="82">
        <v>1</v>
      </c>
      <c r="C240" s="30" t="s">
        <v>49</v>
      </c>
      <c r="D240" s="9">
        <v>280000</v>
      </c>
      <c r="E240" s="29" t="s">
        <v>11</v>
      </c>
      <c r="F240" s="83">
        <f>B240*D240</f>
        <v>280000</v>
      </c>
      <c r="G240" s="9" t="s">
        <v>11</v>
      </c>
      <c r="H240" s="29" t="s">
        <v>11</v>
      </c>
    </row>
    <row r="241" spans="1:8">
      <c r="A241" s="29" t="s">
        <v>68</v>
      </c>
      <c r="B241" s="84">
        <v>0.6</v>
      </c>
      <c r="C241" s="30" t="s">
        <v>69</v>
      </c>
      <c r="D241" s="9">
        <v>170000</v>
      </c>
      <c r="E241" s="29" t="s">
        <v>11</v>
      </c>
      <c r="F241" s="29" t="s">
        <v>11</v>
      </c>
      <c r="G241" s="9">
        <f>B241*D241</f>
        <v>102000</v>
      </c>
      <c r="H241" s="29" t="s">
        <v>11</v>
      </c>
    </row>
    <row r="242" spans="1:8">
      <c r="A242" s="76" t="s">
        <v>70</v>
      </c>
      <c r="B242" s="85">
        <f>ROUND((SUM(E242:H242)),0)</f>
        <v>382000</v>
      </c>
      <c r="C242" s="78" t="s">
        <v>73</v>
      </c>
      <c r="D242" s="86"/>
      <c r="E242" s="80">
        <f>SUM(E240:E241)</f>
        <v>0</v>
      </c>
      <c r="F242" s="80">
        <f>SUM(F240:F241)</f>
        <v>280000</v>
      </c>
      <c r="G242" s="80">
        <f>SUM(G240:G241)</f>
        <v>102000</v>
      </c>
      <c r="H242" s="80">
        <f>SUM(H240:H241)</f>
        <v>0</v>
      </c>
    </row>
    <row r="244" spans="1:8">
      <c r="A244" s="63" t="s">
        <v>166</v>
      </c>
    </row>
    <row r="245" spans="1:8">
      <c r="A245" s="63"/>
      <c r="E245" s="68" t="s">
        <v>61</v>
      </c>
      <c r="F245" s="68" t="s">
        <v>62</v>
      </c>
      <c r="G245" s="68" t="s">
        <v>63</v>
      </c>
      <c r="H245" s="68" t="s">
        <v>64</v>
      </c>
    </row>
    <row r="246" spans="1:8">
      <c r="A246" s="29" t="s">
        <v>167</v>
      </c>
      <c r="B246" s="82">
        <v>1</v>
      </c>
      <c r="C246" s="30" t="s">
        <v>49</v>
      </c>
      <c r="D246" s="9">
        <v>280000</v>
      </c>
      <c r="E246" s="29" t="s">
        <v>11</v>
      </c>
      <c r="F246" s="83">
        <f>B246*D246</f>
        <v>280000</v>
      </c>
      <c r="G246" s="9" t="s">
        <v>11</v>
      </c>
      <c r="H246" s="29" t="s">
        <v>11</v>
      </c>
    </row>
    <row r="247" spans="1:8">
      <c r="A247" s="29" t="s">
        <v>68</v>
      </c>
      <c r="B247" s="84">
        <v>0.6</v>
      </c>
      <c r="C247" s="30" t="s">
        <v>69</v>
      </c>
      <c r="D247" s="9">
        <v>170000</v>
      </c>
      <c r="E247" s="29" t="s">
        <v>11</v>
      </c>
      <c r="F247" s="29" t="s">
        <v>11</v>
      </c>
      <c r="G247" s="9">
        <f>B247*D247</f>
        <v>102000</v>
      </c>
      <c r="H247" s="29" t="s">
        <v>11</v>
      </c>
    </row>
    <row r="248" spans="1:8">
      <c r="A248" s="76" t="s">
        <v>70</v>
      </c>
      <c r="B248" s="85">
        <f>ROUND((SUM(E248:H248)),0)</f>
        <v>382000</v>
      </c>
      <c r="C248" s="78" t="s">
        <v>73</v>
      </c>
      <c r="D248" s="86"/>
      <c r="E248" s="80">
        <f>SUM(E246:E247)</f>
        <v>0</v>
      </c>
      <c r="F248" s="80">
        <f>SUM(F246:F247)</f>
        <v>280000</v>
      </c>
      <c r="G248" s="80">
        <f>SUM(G246:G247)</f>
        <v>102000</v>
      </c>
      <c r="H248" s="80">
        <f>SUM(H246:H247)</f>
        <v>0</v>
      </c>
    </row>
    <row r="250" spans="1:8">
      <c r="A250" s="63" t="s">
        <v>168</v>
      </c>
    </row>
    <row r="251" spans="1:8">
      <c r="A251" s="63"/>
      <c r="E251" s="68" t="s">
        <v>61</v>
      </c>
      <c r="F251" s="68" t="s">
        <v>62</v>
      </c>
      <c r="G251" s="68" t="s">
        <v>63</v>
      </c>
      <c r="H251" s="68" t="s">
        <v>64</v>
      </c>
    </row>
    <row r="252" spans="1:8">
      <c r="A252" s="29" t="s">
        <v>169</v>
      </c>
      <c r="B252" s="82">
        <v>1</v>
      </c>
      <c r="C252" s="30" t="s">
        <v>49</v>
      </c>
      <c r="D252" s="9">
        <v>230000</v>
      </c>
      <c r="E252" s="29" t="s">
        <v>11</v>
      </c>
      <c r="F252" s="83">
        <f>B252*D252</f>
        <v>230000</v>
      </c>
      <c r="G252" s="9" t="s">
        <v>11</v>
      </c>
      <c r="H252" s="29" t="s">
        <v>11</v>
      </c>
    </row>
    <row r="253" spans="1:8">
      <c r="A253" s="29" t="s">
        <v>68</v>
      </c>
      <c r="B253" s="84">
        <v>0.5</v>
      </c>
      <c r="C253" s="30" t="s">
        <v>69</v>
      </c>
      <c r="D253" s="9">
        <v>170000</v>
      </c>
      <c r="E253" s="29" t="s">
        <v>11</v>
      </c>
      <c r="F253" s="29" t="s">
        <v>11</v>
      </c>
      <c r="G253" s="9">
        <f>B253*D253</f>
        <v>85000</v>
      </c>
      <c r="H253" s="29" t="s">
        <v>11</v>
      </c>
    </row>
    <row r="254" spans="1:8">
      <c r="A254" s="76" t="s">
        <v>70</v>
      </c>
      <c r="B254" s="85">
        <f>ROUND((SUM(E254:H254)),0)</f>
        <v>315000</v>
      </c>
      <c r="C254" s="78" t="s">
        <v>73</v>
      </c>
      <c r="D254" s="86"/>
      <c r="E254" s="80">
        <f>SUM(E252:E253)</f>
        <v>0</v>
      </c>
      <c r="F254" s="80">
        <f>SUM(F252:F253)</f>
        <v>230000</v>
      </c>
      <c r="G254" s="80">
        <f>SUM(G252:G253)</f>
        <v>85000</v>
      </c>
      <c r="H254" s="80">
        <f>SUM(H252:H253)</f>
        <v>0</v>
      </c>
    </row>
    <row r="256" spans="1:8">
      <c r="A256" s="63" t="s">
        <v>170</v>
      </c>
    </row>
    <row r="257" spans="1:8">
      <c r="A257" s="63"/>
      <c r="E257" s="68" t="s">
        <v>61</v>
      </c>
      <c r="F257" s="68" t="s">
        <v>62</v>
      </c>
      <c r="G257" s="68" t="s">
        <v>63</v>
      </c>
      <c r="H257" s="68" t="s">
        <v>64</v>
      </c>
    </row>
    <row r="258" spans="1:8">
      <c r="A258" s="29" t="s">
        <v>171</v>
      </c>
      <c r="B258" s="82">
        <v>1</v>
      </c>
      <c r="C258" s="30" t="s">
        <v>49</v>
      </c>
      <c r="D258" s="9">
        <v>150000</v>
      </c>
      <c r="E258" s="29" t="s">
        <v>11</v>
      </c>
      <c r="F258" s="83">
        <f>B258*D258</f>
        <v>150000</v>
      </c>
      <c r="G258" s="9" t="s">
        <v>11</v>
      </c>
      <c r="H258" s="29" t="s">
        <v>11</v>
      </c>
    </row>
    <row r="259" spans="1:8">
      <c r="A259" s="29" t="s">
        <v>97</v>
      </c>
      <c r="B259" s="82">
        <v>1</v>
      </c>
      <c r="C259" s="30" t="s">
        <v>8</v>
      </c>
      <c r="D259" s="9">
        <v>160000</v>
      </c>
      <c r="E259" s="29"/>
      <c r="F259" s="83">
        <f>B259*D259</f>
        <v>160000</v>
      </c>
      <c r="G259" s="9"/>
      <c r="H259" s="29"/>
    </row>
    <row r="260" spans="1:8">
      <c r="A260" s="29" t="s">
        <v>95</v>
      </c>
      <c r="B260" s="82">
        <v>1</v>
      </c>
      <c r="C260" s="30" t="s">
        <v>49</v>
      </c>
      <c r="D260" s="9">
        <v>300000</v>
      </c>
      <c r="E260" s="29" t="s">
        <v>11</v>
      </c>
      <c r="F260" s="83">
        <f>B260*D260</f>
        <v>300000</v>
      </c>
      <c r="G260" s="9" t="s">
        <v>11</v>
      </c>
      <c r="H260" s="29" t="s">
        <v>11</v>
      </c>
    </row>
    <row r="261" spans="1:8">
      <c r="A261" s="29" t="s">
        <v>161</v>
      </c>
      <c r="B261" s="82">
        <v>3</v>
      </c>
      <c r="C261" s="30" t="s">
        <v>8</v>
      </c>
      <c r="D261" s="9">
        <v>45000</v>
      </c>
      <c r="E261" s="29"/>
      <c r="F261" s="83">
        <f>B261*D261</f>
        <v>135000</v>
      </c>
      <c r="G261" s="9"/>
      <c r="H261" s="29"/>
    </row>
    <row r="262" spans="1:8">
      <c r="A262" s="29" t="s">
        <v>163</v>
      </c>
      <c r="B262" s="82">
        <v>1</v>
      </c>
      <c r="C262" s="30" t="s">
        <v>8</v>
      </c>
      <c r="D262" s="9">
        <v>150000</v>
      </c>
      <c r="E262" s="29"/>
      <c r="F262" s="83">
        <f>B262*D262</f>
        <v>150000</v>
      </c>
      <c r="G262" s="9"/>
      <c r="H262" s="29"/>
    </row>
    <row r="263" spans="1:8">
      <c r="A263" s="29" t="s">
        <v>68</v>
      </c>
      <c r="B263" s="89">
        <v>0.9</v>
      </c>
      <c r="C263" s="30" t="s">
        <v>69</v>
      </c>
      <c r="D263" s="9">
        <v>170000</v>
      </c>
      <c r="E263" s="29" t="s">
        <v>11</v>
      </c>
      <c r="F263" s="29" t="s">
        <v>11</v>
      </c>
      <c r="G263" s="9">
        <f>B263*D263</f>
        <v>153000</v>
      </c>
      <c r="H263" s="29" t="s">
        <v>11</v>
      </c>
    </row>
    <row r="264" spans="1:8">
      <c r="A264" s="76" t="s">
        <v>70</v>
      </c>
      <c r="B264" s="85">
        <f>ROUND((SUM(E264:H264)),0)</f>
        <v>1048000</v>
      </c>
      <c r="C264" s="78" t="s">
        <v>73</v>
      </c>
      <c r="D264" s="86"/>
      <c r="E264" s="80">
        <f>SUM(E258:E263)</f>
        <v>0</v>
      </c>
      <c r="F264" s="80">
        <f>SUM(F258:F263)</f>
        <v>895000</v>
      </c>
      <c r="G264" s="80">
        <f>SUM(G258:G263)</f>
        <v>153000</v>
      </c>
      <c r="H264" s="80">
        <f>SUM(H258:H263)</f>
        <v>0</v>
      </c>
    </row>
    <row r="265" spans="1:8">
      <c r="A265" s="122"/>
      <c r="B265" s="123"/>
      <c r="C265" s="124"/>
      <c r="D265" s="125"/>
      <c r="E265" s="126"/>
      <c r="F265" s="126"/>
      <c r="G265" s="126"/>
      <c r="H265" s="126"/>
    </row>
    <row r="266" spans="1:8">
      <c r="A266" s="63" t="s">
        <v>172</v>
      </c>
    </row>
    <row r="267" spans="1:8">
      <c r="A267" s="63"/>
      <c r="E267" s="68" t="s">
        <v>61</v>
      </c>
      <c r="F267" s="68" t="s">
        <v>62</v>
      </c>
      <c r="G267" s="68" t="s">
        <v>63</v>
      </c>
      <c r="H267" s="68" t="s">
        <v>64</v>
      </c>
    </row>
    <row r="268" spans="1:8" s="121" customFormat="1" ht="14.25">
      <c r="A268" s="90" t="s">
        <v>173</v>
      </c>
      <c r="B268" s="82">
        <v>1</v>
      </c>
      <c r="C268" s="30" t="s">
        <v>8</v>
      </c>
      <c r="D268" s="9">
        <v>1500000</v>
      </c>
      <c r="E268" s="29" t="s">
        <v>11</v>
      </c>
      <c r="F268" s="83">
        <f>B268*D268</f>
        <v>1500000</v>
      </c>
      <c r="G268" s="9" t="s">
        <v>11</v>
      </c>
      <c r="H268" s="29" t="s">
        <v>11</v>
      </c>
    </row>
    <row r="269" spans="1:8" s="121" customFormat="1" ht="14.25">
      <c r="A269" s="90" t="s">
        <v>174</v>
      </c>
      <c r="B269" s="82">
        <v>1</v>
      </c>
      <c r="C269" s="30" t="s">
        <v>8</v>
      </c>
      <c r="D269" s="9">
        <v>3560000</v>
      </c>
      <c r="E269" s="29" t="s">
        <v>11</v>
      </c>
      <c r="F269" s="83">
        <f>B269*D269</f>
        <v>3560000</v>
      </c>
      <c r="G269" s="9" t="s">
        <v>11</v>
      </c>
      <c r="H269" s="29" t="s">
        <v>11</v>
      </c>
    </row>
    <row r="270" spans="1:8" s="121" customFormat="1" ht="14.25">
      <c r="A270" s="90" t="s">
        <v>175</v>
      </c>
      <c r="B270" s="82">
        <v>1</v>
      </c>
      <c r="C270" s="30" t="s">
        <v>8</v>
      </c>
      <c r="D270" s="9">
        <v>2000000</v>
      </c>
      <c r="E270" s="29" t="s">
        <v>11</v>
      </c>
      <c r="F270" s="83">
        <f>B270*D270</f>
        <v>2000000</v>
      </c>
      <c r="G270" s="9" t="s">
        <v>11</v>
      </c>
      <c r="H270" s="29" t="s">
        <v>11</v>
      </c>
    </row>
    <row r="271" spans="1:8" s="121" customFormat="1" ht="14.25">
      <c r="A271" s="90" t="s">
        <v>68</v>
      </c>
      <c r="B271" s="84">
        <v>2.7</v>
      </c>
      <c r="C271" s="30" t="s">
        <v>69</v>
      </c>
      <c r="D271" s="9">
        <v>170000</v>
      </c>
      <c r="E271" s="29" t="s">
        <v>11</v>
      </c>
      <c r="F271" s="29" t="s">
        <v>11</v>
      </c>
      <c r="G271" s="9">
        <f>B271*D271</f>
        <v>459000.00000000006</v>
      </c>
      <c r="H271" s="29" t="s">
        <v>11</v>
      </c>
    </row>
    <row r="272" spans="1:8">
      <c r="A272" s="76" t="s">
        <v>70</v>
      </c>
      <c r="B272" s="85">
        <f>ROUND((SUM(E272:H272)),0)</f>
        <v>7519000</v>
      </c>
      <c r="C272" s="78" t="s">
        <v>71</v>
      </c>
      <c r="D272" s="86"/>
      <c r="E272" s="80">
        <f>SUM(E268:E271)</f>
        <v>0</v>
      </c>
      <c r="F272" s="80">
        <f>SUM(F268:F271)</f>
        <v>7060000</v>
      </c>
      <c r="G272" s="80">
        <f>SUM(G268:G271)</f>
        <v>459000.00000000006</v>
      </c>
      <c r="H272" s="80">
        <f>SUM(H268:H271)</f>
        <v>0</v>
      </c>
    </row>
    <row r="273" spans="1:8">
      <c r="A273" s="122"/>
      <c r="B273" s="123"/>
      <c r="C273" s="124"/>
      <c r="D273" s="125"/>
      <c r="E273" s="126"/>
      <c r="F273" s="126"/>
      <c r="G273" s="126"/>
      <c r="H273" s="126"/>
    </row>
    <row r="274" spans="1:8">
      <c r="A274" s="63" t="s">
        <v>176</v>
      </c>
    </row>
    <row r="275" spans="1:8">
      <c r="A275" s="63"/>
      <c r="E275" s="68" t="s">
        <v>61</v>
      </c>
      <c r="F275" s="68" t="s">
        <v>62</v>
      </c>
      <c r="G275" s="68" t="s">
        <v>63</v>
      </c>
      <c r="H275" s="68" t="s">
        <v>64</v>
      </c>
    </row>
    <row r="276" spans="1:8" s="121" customFormat="1" ht="14.25">
      <c r="A276" s="29" t="s">
        <v>149</v>
      </c>
      <c r="B276" s="82">
        <v>8</v>
      </c>
      <c r="C276" s="30" t="s">
        <v>66</v>
      </c>
      <c r="D276" s="9">
        <v>8500</v>
      </c>
      <c r="E276" s="29" t="s">
        <v>11</v>
      </c>
      <c r="F276" s="83">
        <f>B276*D276</f>
        <v>68000</v>
      </c>
      <c r="G276" s="9" t="s">
        <v>11</v>
      </c>
      <c r="H276" s="29" t="s">
        <v>11</v>
      </c>
    </row>
    <row r="277" spans="1:8" s="121" customFormat="1" ht="14.25">
      <c r="A277" s="29" t="s">
        <v>98</v>
      </c>
      <c r="B277" s="82">
        <v>1</v>
      </c>
      <c r="C277" s="30" t="s">
        <v>66</v>
      </c>
      <c r="D277" s="9">
        <v>5600</v>
      </c>
      <c r="E277" s="29" t="s">
        <v>11</v>
      </c>
      <c r="F277" s="83">
        <f>B277*D277</f>
        <v>5600</v>
      </c>
      <c r="G277" s="9" t="s">
        <v>11</v>
      </c>
      <c r="H277" s="29" t="s">
        <v>11</v>
      </c>
    </row>
    <row r="278" spans="1:8" s="121" customFormat="1" ht="14.25">
      <c r="A278" s="90" t="s">
        <v>67</v>
      </c>
      <c r="B278" s="82">
        <v>3</v>
      </c>
      <c r="C278" s="30" t="s">
        <v>66</v>
      </c>
      <c r="D278" s="9">
        <v>6200</v>
      </c>
      <c r="E278" s="29" t="s">
        <v>11</v>
      </c>
      <c r="F278" s="83">
        <f>B278*D278</f>
        <v>18600</v>
      </c>
      <c r="G278" s="9" t="s">
        <v>11</v>
      </c>
      <c r="H278" s="29" t="s">
        <v>11</v>
      </c>
    </row>
    <row r="279" spans="1:8" s="121" customFormat="1" ht="14.25">
      <c r="A279" s="90" t="s">
        <v>68</v>
      </c>
      <c r="B279" s="96">
        <v>0.11799999999999999</v>
      </c>
      <c r="C279" s="30" t="s">
        <v>69</v>
      </c>
      <c r="D279" s="9">
        <v>170000</v>
      </c>
      <c r="E279" s="29" t="s">
        <v>11</v>
      </c>
      <c r="F279" s="29" t="s">
        <v>11</v>
      </c>
      <c r="G279" s="9">
        <f>B279*D279</f>
        <v>20060</v>
      </c>
      <c r="H279" s="29" t="s">
        <v>11</v>
      </c>
    </row>
    <row r="280" spans="1:8">
      <c r="A280" s="76" t="s">
        <v>70</v>
      </c>
      <c r="B280" s="85">
        <f>ROUND((SUM(E280:H280)),0)</f>
        <v>112260</v>
      </c>
      <c r="C280" s="78" t="s">
        <v>71</v>
      </c>
      <c r="D280" s="86"/>
      <c r="E280" s="80">
        <f>SUM(E276:E279)</f>
        <v>0</v>
      </c>
      <c r="F280" s="80">
        <f>SUM(F276:F279)</f>
        <v>92200</v>
      </c>
      <c r="G280" s="80">
        <f>SUM(G276:G279)</f>
        <v>20060</v>
      </c>
      <c r="H280" s="80">
        <f>SUM(H276:H279)</f>
        <v>0</v>
      </c>
    </row>
    <row r="281" spans="1:8">
      <c r="A281" s="122"/>
      <c r="B281" s="123"/>
      <c r="C281" s="124"/>
      <c r="D281" s="125"/>
      <c r="E281" s="126"/>
      <c r="F281" s="126"/>
      <c r="G281" s="126"/>
      <c r="H281" s="126"/>
    </row>
    <row r="282" spans="1:8">
      <c r="A282" s="63" t="s">
        <v>177</v>
      </c>
    </row>
    <row r="283" spans="1:8">
      <c r="A283" s="63"/>
      <c r="E283" s="68" t="s">
        <v>61</v>
      </c>
      <c r="F283" s="68" t="s">
        <v>62</v>
      </c>
      <c r="G283" s="68" t="s">
        <v>63</v>
      </c>
      <c r="H283" s="68" t="s">
        <v>64</v>
      </c>
    </row>
    <row r="284" spans="1:8" s="121" customFormat="1" ht="14.25">
      <c r="A284" s="29" t="s">
        <v>149</v>
      </c>
      <c r="B284" s="82">
        <v>8</v>
      </c>
      <c r="C284" s="30" t="s">
        <v>66</v>
      </c>
      <c r="D284" s="9">
        <v>8500</v>
      </c>
      <c r="E284" s="29" t="s">
        <v>11</v>
      </c>
      <c r="F284" s="83">
        <f>B284*D284</f>
        <v>68000</v>
      </c>
      <c r="G284" s="9" t="s">
        <v>11</v>
      </c>
      <c r="H284" s="29" t="s">
        <v>11</v>
      </c>
    </row>
    <row r="285" spans="1:8" s="121" customFormat="1" ht="14.25">
      <c r="A285" s="29" t="s">
        <v>98</v>
      </c>
      <c r="B285" s="82">
        <v>1</v>
      </c>
      <c r="C285" s="30" t="s">
        <v>66</v>
      </c>
      <c r="D285" s="9">
        <v>5600</v>
      </c>
      <c r="E285" s="29" t="s">
        <v>11</v>
      </c>
      <c r="F285" s="83">
        <f>B285*D285</f>
        <v>5600</v>
      </c>
      <c r="G285" s="9" t="s">
        <v>11</v>
      </c>
      <c r="H285" s="29" t="s">
        <v>11</v>
      </c>
    </row>
    <row r="286" spans="1:8" s="121" customFormat="1" ht="14.25">
      <c r="A286" s="90" t="s">
        <v>67</v>
      </c>
      <c r="B286" s="82">
        <v>2</v>
      </c>
      <c r="C286" s="30" t="s">
        <v>66</v>
      </c>
      <c r="D286" s="9">
        <v>6200</v>
      </c>
      <c r="E286" s="29" t="s">
        <v>11</v>
      </c>
      <c r="F286" s="83">
        <f>B286*D286</f>
        <v>12400</v>
      </c>
      <c r="G286" s="9" t="s">
        <v>11</v>
      </c>
      <c r="H286" s="29" t="s">
        <v>11</v>
      </c>
    </row>
    <row r="287" spans="1:8" s="121" customFormat="1" ht="14.25">
      <c r="A287" s="90" t="s">
        <v>68</v>
      </c>
      <c r="B287" s="96">
        <v>0.11799999999999999</v>
      </c>
      <c r="C287" s="30" t="s">
        <v>69</v>
      </c>
      <c r="D287" s="9">
        <v>170000</v>
      </c>
      <c r="E287" s="29" t="s">
        <v>11</v>
      </c>
      <c r="F287" s="29" t="s">
        <v>11</v>
      </c>
      <c r="G287" s="9">
        <f>B287*D287</f>
        <v>20060</v>
      </c>
      <c r="H287" s="29" t="s">
        <v>11</v>
      </c>
    </row>
    <row r="288" spans="1:8">
      <c r="A288" s="76" t="s">
        <v>70</v>
      </c>
      <c r="B288" s="85">
        <f>ROUND((SUM(E288:H288)),0)</f>
        <v>106060</v>
      </c>
      <c r="C288" s="78" t="s">
        <v>71</v>
      </c>
      <c r="D288" s="86"/>
      <c r="E288" s="80">
        <f>SUM(E284:E287)</f>
        <v>0</v>
      </c>
      <c r="F288" s="80">
        <f>SUM(F284:F287)</f>
        <v>86000</v>
      </c>
      <c r="G288" s="80">
        <f>SUM(G284:G287)</f>
        <v>20060</v>
      </c>
      <c r="H288" s="80">
        <f>SUM(H284:H287)</f>
        <v>0</v>
      </c>
    </row>
    <row r="289" spans="1:8">
      <c r="A289" s="122"/>
      <c r="B289" s="123"/>
      <c r="C289" s="124"/>
      <c r="D289" s="125"/>
      <c r="E289" s="126"/>
      <c r="F289" s="126"/>
      <c r="G289" s="126"/>
      <c r="H289" s="126"/>
    </row>
    <row r="294" spans="1:8">
      <c r="A294" s="122"/>
      <c r="B294" s="123"/>
      <c r="C294" s="124"/>
      <c r="D294" s="125"/>
      <c r="E294" s="126"/>
      <c r="F294" s="126"/>
      <c r="G294" s="126"/>
      <c r="H294" s="126"/>
    </row>
    <row r="297" spans="1:8" s="121" customFormat="1" ht="14.25"/>
    <row r="298" spans="1:8" s="121" customFormat="1" ht="14.25"/>
    <row r="299" spans="1:8" s="121" customFormat="1" ht="14.25"/>
    <row r="300" spans="1:8" s="121" customFormat="1" ht="14.25"/>
    <row r="302" spans="1:8">
      <c r="A302" s="122"/>
      <c r="B302" s="123"/>
      <c r="C302" s="124"/>
      <c r="D302" s="125"/>
      <c r="E302" s="126"/>
      <c r="F302" s="126"/>
      <c r="G302" s="126"/>
      <c r="H302" s="126"/>
    </row>
    <row r="303" spans="1:8">
      <c r="A303" s="63" t="s">
        <v>181</v>
      </c>
    </row>
    <row r="304" spans="1:8">
      <c r="A304" s="63"/>
      <c r="E304" s="68" t="s">
        <v>61</v>
      </c>
      <c r="F304" s="68" t="s">
        <v>62</v>
      </c>
      <c r="G304" s="68" t="s">
        <v>63</v>
      </c>
      <c r="H304" s="68" t="s">
        <v>64</v>
      </c>
    </row>
    <row r="305" spans="1:8" s="121" customFormat="1" ht="14.25">
      <c r="A305" s="90" t="s">
        <v>182</v>
      </c>
      <c r="B305" s="82">
        <v>4</v>
      </c>
      <c r="C305" s="30" t="s">
        <v>66</v>
      </c>
      <c r="D305" s="9">
        <v>15340</v>
      </c>
      <c r="E305" s="29" t="s">
        <v>11</v>
      </c>
      <c r="F305" s="83">
        <f>B305*D305</f>
        <v>61360</v>
      </c>
      <c r="G305" s="9" t="s">
        <v>11</v>
      </c>
      <c r="H305" s="29" t="s">
        <v>11</v>
      </c>
    </row>
    <row r="306" spans="1:8" s="121" customFormat="1" ht="14.25">
      <c r="A306" s="90" t="s">
        <v>183</v>
      </c>
      <c r="B306" s="82">
        <v>1</v>
      </c>
      <c r="C306" s="30" t="s">
        <v>18</v>
      </c>
      <c r="D306" s="9">
        <v>9390</v>
      </c>
      <c r="E306" s="29"/>
      <c r="F306" s="83">
        <f>B306*D306</f>
        <v>9390</v>
      </c>
      <c r="G306" s="9"/>
      <c r="H306" s="29"/>
    </row>
    <row r="307" spans="1:8" s="121" customFormat="1" ht="14.25">
      <c r="A307" s="90" t="s">
        <v>67</v>
      </c>
      <c r="B307" s="82">
        <v>1</v>
      </c>
      <c r="C307" s="30" t="s">
        <v>66</v>
      </c>
      <c r="D307" s="9">
        <v>6575</v>
      </c>
      <c r="E307" s="29" t="s">
        <v>11</v>
      </c>
      <c r="F307" s="83">
        <f>B307*D307</f>
        <v>6575</v>
      </c>
      <c r="G307" s="9" t="s">
        <v>11</v>
      </c>
      <c r="H307" s="29" t="s">
        <v>11</v>
      </c>
    </row>
    <row r="308" spans="1:8" s="121" customFormat="1" ht="14.25">
      <c r="A308" s="90" t="s">
        <v>68</v>
      </c>
      <c r="B308" s="96">
        <v>5.8999999999999997E-2</v>
      </c>
      <c r="C308" s="30" t="s">
        <v>69</v>
      </c>
      <c r="D308" s="9">
        <v>170000</v>
      </c>
      <c r="E308" s="29" t="s">
        <v>11</v>
      </c>
      <c r="F308" s="29" t="s">
        <v>11</v>
      </c>
      <c r="G308" s="9">
        <f>B308*D308</f>
        <v>10030</v>
      </c>
      <c r="H308" s="29" t="s">
        <v>11</v>
      </c>
    </row>
    <row r="309" spans="1:8">
      <c r="A309" s="76" t="s">
        <v>70</v>
      </c>
      <c r="B309" s="85">
        <f>ROUND((SUM(E309:H309)),0)</f>
        <v>87355</v>
      </c>
      <c r="C309" s="78" t="s">
        <v>71</v>
      </c>
      <c r="D309" s="86"/>
      <c r="E309" s="80">
        <f>SUM(E305:E308)</f>
        <v>0</v>
      </c>
      <c r="F309" s="80">
        <f>SUM(F305:F308)</f>
        <v>77325</v>
      </c>
      <c r="G309" s="80">
        <f>SUM(G305:G308)</f>
        <v>10030</v>
      </c>
      <c r="H309" s="80">
        <f>SUM(H305:H308)</f>
        <v>0</v>
      </c>
    </row>
    <row r="311" spans="1:8">
      <c r="A311" s="63" t="s">
        <v>184</v>
      </c>
    </row>
    <row r="312" spans="1:8">
      <c r="A312" s="63"/>
      <c r="E312" s="68" t="s">
        <v>61</v>
      </c>
      <c r="F312" s="68" t="s">
        <v>62</v>
      </c>
      <c r="G312" s="68" t="s">
        <v>63</v>
      </c>
      <c r="H312" s="68" t="s">
        <v>64</v>
      </c>
    </row>
    <row r="313" spans="1:8" s="121" customFormat="1" ht="14.25">
      <c r="A313" s="90" t="s">
        <v>185</v>
      </c>
      <c r="B313" s="82">
        <v>4</v>
      </c>
      <c r="C313" s="30" t="s">
        <v>66</v>
      </c>
      <c r="D313" s="9">
        <v>6590</v>
      </c>
      <c r="E313" s="29" t="s">
        <v>11</v>
      </c>
      <c r="F313" s="83">
        <f>B313*D313</f>
        <v>26360</v>
      </c>
      <c r="G313" s="9" t="s">
        <v>11</v>
      </c>
      <c r="H313" s="29" t="s">
        <v>11</v>
      </c>
    </row>
    <row r="314" spans="1:8" s="121" customFormat="1" ht="14.25">
      <c r="A314" s="29" t="s">
        <v>100</v>
      </c>
      <c r="B314" s="82">
        <v>1</v>
      </c>
      <c r="C314" s="30" t="s">
        <v>66</v>
      </c>
      <c r="D314" s="9">
        <v>3823</v>
      </c>
      <c r="E314" s="29" t="s">
        <v>11</v>
      </c>
      <c r="F314" s="83">
        <f>B314*D314</f>
        <v>3823</v>
      </c>
      <c r="G314" s="9" t="s">
        <v>11</v>
      </c>
      <c r="H314" s="29" t="s">
        <v>11</v>
      </c>
    </row>
    <row r="315" spans="1:8" s="121" customFormat="1" ht="14.25">
      <c r="A315" s="29" t="s">
        <v>180</v>
      </c>
      <c r="B315" s="82">
        <v>1</v>
      </c>
      <c r="C315" s="30" t="s">
        <v>66</v>
      </c>
      <c r="D315" s="9">
        <v>1883</v>
      </c>
      <c r="E315" s="29" t="s">
        <v>11</v>
      </c>
      <c r="F315" s="83">
        <f>B315*D315</f>
        <v>1883</v>
      </c>
      <c r="G315" s="9" t="s">
        <v>11</v>
      </c>
      <c r="H315" s="29" t="s">
        <v>11</v>
      </c>
    </row>
    <row r="316" spans="1:8" s="121" customFormat="1" ht="14.25">
      <c r="A316" s="90" t="s">
        <v>68</v>
      </c>
      <c r="B316" s="91">
        <v>0.05</v>
      </c>
      <c r="C316" s="30" t="s">
        <v>69</v>
      </c>
      <c r="D316" s="9">
        <v>170000</v>
      </c>
      <c r="E316" s="29" t="s">
        <v>11</v>
      </c>
      <c r="F316" s="29" t="s">
        <v>11</v>
      </c>
      <c r="G316" s="9">
        <f>B316*D316</f>
        <v>8500</v>
      </c>
      <c r="H316" s="29" t="s">
        <v>11</v>
      </c>
    </row>
    <row r="317" spans="1:8">
      <c r="A317" s="76" t="s">
        <v>70</v>
      </c>
      <c r="B317" s="85">
        <f>ROUND((SUM(E317:H317)),0)</f>
        <v>40566</v>
      </c>
      <c r="C317" s="78" t="s">
        <v>71</v>
      </c>
      <c r="D317" s="86"/>
      <c r="E317" s="80">
        <f>SUM(E313:E316)</f>
        <v>0</v>
      </c>
      <c r="F317" s="80">
        <f>SUM(F313:F316)</f>
        <v>32066</v>
      </c>
      <c r="G317" s="80">
        <f>SUM(G313:G316)</f>
        <v>8500</v>
      </c>
      <c r="H317" s="80">
        <f>SUM(H313:H316)</f>
        <v>0</v>
      </c>
    </row>
    <row r="319" spans="1:8">
      <c r="A319" s="63" t="s">
        <v>187</v>
      </c>
    </row>
    <row r="320" spans="1:8">
      <c r="A320" s="63"/>
      <c r="E320" s="68" t="s">
        <v>61</v>
      </c>
      <c r="F320" s="68" t="s">
        <v>62</v>
      </c>
      <c r="G320" s="68" t="s">
        <v>63</v>
      </c>
      <c r="H320" s="68" t="s">
        <v>64</v>
      </c>
    </row>
    <row r="321" spans="1:8" s="121" customFormat="1" ht="14.25">
      <c r="A321" s="29" t="s">
        <v>100</v>
      </c>
      <c r="B321" s="82">
        <v>4</v>
      </c>
      <c r="C321" s="30" t="s">
        <v>66</v>
      </c>
      <c r="D321" s="9">
        <v>3523</v>
      </c>
      <c r="E321" s="29" t="s">
        <v>11</v>
      </c>
      <c r="F321" s="83">
        <f>B321*D321</f>
        <v>14092</v>
      </c>
      <c r="G321" s="9" t="s">
        <v>11</v>
      </c>
      <c r="H321" s="29" t="s">
        <v>11</v>
      </c>
    </row>
    <row r="322" spans="1:8" s="121" customFormat="1" ht="14.25">
      <c r="A322" s="29" t="s">
        <v>99</v>
      </c>
      <c r="B322" s="82">
        <v>1</v>
      </c>
      <c r="C322" s="30" t="s">
        <v>66</v>
      </c>
      <c r="D322" s="9">
        <v>2541</v>
      </c>
      <c r="E322" s="29" t="s">
        <v>11</v>
      </c>
      <c r="F322" s="83">
        <f>B322*D322</f>
        <v>2541</v>
      </c>
      <c r="G322" s="9" t="s">
        <v>11</v>
      </c>
      <c r="H322" s="29" t="s">
        <v>11</v>
      </c>
    </row>
    <row r="323" spans="1:8" s="121" customFormat="1" ht="14.25">
      <c r="A323" s="29" t="s">
        <v>188</v>
      </c>
      <c r="B323" s="82">
        <v>1</v>
      </c>
      <c r="C323" s="30" t="s">
        <v>66</v>
      </c>
      <c r="D323" s="9">
        <v>1200</v>
      </c>
      <c r="E323" s="29" t="s">
        <v>11</v>
      </c>
      <c r="F323" s="83">
        <f>B323*D323</f>
        <v>1200</v>
      </c>
      <c r="G323" s="9" t="s">
        <v>11</v>
      </c>
      <c r="H323" s="29" t="s">
        <v>11</v>
      </c>
    </row>
    <row r="324" spans="1:8" s="121" customFormat="1" ht="14.25">
      <c r="A324" s="29" t="s">
        <v>68</v>
      </c>
      <c r="B324" s="91">
        <v>4.41E-2</v>
      </c>
      <c r="C324" s="30" t="s">
        <v>69</v>
      </c>
      <c r="D324" s="9">
        <v>170000</v>
      </c>
      <c r="E324" s="29" t="s">
        <v>11</v>
      </c>
      <c r="F324" s="83"/>
      <c r="G324" s="9">
        <f>B324*D324</f>
        <v>7497</v>
      </c>
      <c r="H324" s="29" t="s">
        <v>11</v>
      </c>
    </row>
    <row r="325" spans="1:8">
      <c r="A325" s="76" t="s">
        <v>70</v>
      </c>
      <c r="B325" s="85">
        <f>ROUND((SUM(E325:H325)),0)</f>
        <v>25330</v>
      </c>
      <c r="C325" s="78" t="s">
        <v>71</v>
      </c>
      <c r="D325" s="86"/>
      <c r="E325" s="80">
        <f>SUM(E321:E324)</f>
        <v>0</v>
      </c>
      <c r="F325" s="80">
        <f>SUM(F321:F324)</f>
        <v>17833</v>
      </c>
      <c r="G325" s="80">
        <f>SUM(G321:G324)</f>
        <v>7497</v>
      </c>
      <c r="H325" s="80">
        <f>SUM(H321:H324)</f>
        <v>0</v>
      </c>
    </row>
    <row r="327" spans="1:8">
      <c r="A327" s="63" t="s">
        <v>189</v>
      </c>
    </row>
    <row r="328" spans="1:8">
      <c r="A328" s="63"/>
      <c r="E328" s="68" t="s">
        <v>61</v>
      </c>
      <c r="F328" s="68" t="s">
        <v>62</v>
      </c>
      <c r="G328" s="68" t="s">
        <v>63</v>
      </c>
      <c r="H328" s="68" t="s">
        <v>64</v>
      </c>
    </row>
    <row r="329" spans="1:8" s="121" customFormat="1" ht="14.25">
      <c r="A329" s="29" t="s">
        <v>190</v>
      </c>
      <c r="B329" s="82">
        <v>3</v>
      </c>
      <c r="C329" s="30" t="s">
        <v>66</v>
      </c>
      <c r="D329" s="9">
        <v>1713</v>
      </c>
      <c r="E329" s="29" t="s">
        <v>11</v>
      </c>
      <c r="F329" s="83">
        <f>B329*D329</f>
        <v>5139</v>
      </c>
      <c r="G329" s="9" t="s">
        <v>11</v>
      </c>
      <c r="H329" s="29" t="s">
        <v>11</v>
      </c>
    </row>
    <row r="330" spans="1:8" s="121" customFormat="1" ht="14.25">
      <c r="A330" s="29" t="s">
        <v>180</v>
      </c>
      <c r="B330" s="82">
        <v>1</v>
      </c>
      <c r="C330" s="30" t="s">
        <v>66</v>
      </c>
      <c r="D330" s="9">
        <v>1883</v>
      </c>
      <c r="E330" s="29" t="s">
        <v>11</v>
      </c>
      <c r="F330" s="83">
        <f>B330*D330</f>
        <v>1883</v>
      </c>
      <c r="G330" s="9" t="s">
        <v>11</v>
      </c>
      <c r="H330" s="29" t="s">
        <v>11</v>
      </c>
    </row>
    <row r="331" spans="1:8" s="121" customFormat="1" ht="14.25">
      <c r="A331" s="29" t="s">
        <v>68</v>
      </c>
      <c r="B331" s="91">
        <v>1.4710000000000001E-2</v>
      </c>
      <c r="C331" s="30" t="s">
        <v>69</v>
      </c>
      <c r="D331" s="9">
        <v>170000</v>
      </c>
      <c r="E331" s="29" t="s">
        <v>11</v>
      </c>
      <c r="F331" s="83"/>
      <c r="G331" s="9">
        <f>B331*D331</f>
        <v>2500.7000000000003</v>
      </c>
      <c r="H331" s="29" t="s">
        <v>11</v>
      </c>
    </row>
    <row r="332" spans="1:8">
      <c r="A332" s="76" t="s">
        <v>70</v>
      </c>
      <c r="B332" s="85">
        <f>ROUND((SUM(E332:H332)),0)</f>
        <v>9523</v>
      </c>
      <c r="C332" s="78" t="s">
        <v>71</v>
      </c>
      <c r="D332" s="86"/>
      <c r="E332" s="80">
        <f>SUM(E329:E331)</f>
        <v>0</v>
      </c>
      <c r="F332" s="80">
        <f>SUM(F329:F331)</f>
        <v>7022</v>
      </c>
      <c r="G332" s="80">
        <f>SUM(G329:G331)</f>
        <v>2500.7000000000003</v>
      </c>
      <c r="H332" s="80">
        <f>SUM(H329:H331)</f>
        <v>0</v>
      </c>
    </row>
    <row r="334" spans="1:8">
      <c r="A334" s="63" t="s">
        <v>322</v>
      </c>
    </row>
    <row r="335" spans="1:8">
      <c r="A335" s="63"/>
      <c r="E335" s="68" t="s">
        <v>61</v>
      </c>
      <c r="F335" s="68" t="s">
        <v>62</v>
      </c>
      <c r="G335" s="68" t="s">
        <v>63</v>
      </c>
      <c r="H335" s="68" t="s">
        <v>64</v>
      </c>
    </row>
    <row r="336" spans="1:8" s="121" customFormat="1" ht="14.25">
      <c r="A336" s="29" t="s">
        <v>99</v>
      </c>
      <c r="B336" s="82">
        <v>4</v>
      </c>
      <c r="C336" s="30" t="s">
        <v>66</v>
      </c>
      <c r="D336" s="9">
        <v>2541</v>
      </c>
      <c r="E336" s="29" t="s">
        <v>11</v>
      </c>
      <c r="F336" s="83">
        <f>B336*D336</f>
        <v>10164</v>
      </c>
      <c r="G336" s="9" t="s">
        <v>11</v>
      </c>
      <c r="H336" s="29" t="s">
        <v>11</v>
      </c>
    </row>
    <row r="337" spans="1:8" s="121" customFormat="1" ht="14.25">
      <c r="A337" s="29" t="s">
        <v>190</v>
      </c>
      <c r="B337" s="82">
        <v>1</v>
      </c>
      <c r="C337" s="30" t="s">
        <v>66</v>
      </c>
      <c r="D337" s="9">
        <v>1713</v>
      </c>
      <c r="E337" s="29" t="s">
        <v>11</v>
      </c>
      <c r="F337" s="83">
        <f>B337*D337</f>
        <v>1713</v>
      </c>
      <c r="G337" s="9" t="s">
        <v>11</v>
      </c>
      <c r="H337" s="29" t="s">
        <v>11</v>
      </c>
    </row>
    <row r="338" spans="1:8" s="121" customFormat="1" ht="14.25">
      <c r="A338" s="29" t="s">
        <v>194</v>
      </c>
      <c r="B338" s="82">
        <v>1</v>
      </c>
      <c r="C338" s="30" t="s">
        <v>66</v>
      </c>
      <c r="D338" s="9">
        <v>890</v>
      </c>
      <c r="E338" s="29" t="s">
        <v>11</v>
      </c>
      <c r="F338" s="83">
        <f>B338*D338</f>
        <v>890</v>
      </c>
      <c r="G338" s="9" t="s">
        <v>11</v>
      </c>
      <c r="H338" s="29" t="s">
        <v>11</v>
      </c>
    </row>
    <row r="339" spans="1:8" s="121" customFormat="1" ht="14.25">
      <c r="A339" s="29" t="s">
        <v>68</v>
      </c>
      <c r="B339" s="91">
        <v>3.8199999999999998E-2</v>
      </c>
      <c r="C339" s="30" t="s">
        <v>69</v>
      </c>
      <c r="D339" s="9">
        <v>170000</v>
      </c>
      <c r="E339" s="29" t="s">
        <v>11</v>
      </c>
      <c r="F339" s="83"/>
      <c r="G339" s="9">
        <f>B339*D339</f>
        <v>6494</v>
      </c>
      <c r="H339" s="29" t="s">
        <v>11</v>
      </c>
    </row>
    <row r="340" spans="1:8">
      <c r="A340" s="76" t="s">
        <v>70</v>
      </c>
      <c r="B340" s="85">
        <f>ROUND((SUM(E340:H340)),0)</f>
        <v>19261</v>
      </c>
      <c r="C340" s="78" t="s">
        <v>71</v>
      </c>
      <c r="D340" s="86"/>
      <c r="E340" s="80">
        <f>SUM(E336:E339)</f>
        <v>0</v>
      </c>
      <c r="F340" s="80">
        <f>SUM(F336:F339)</f>
        <v>12767</v>
      </c>
      <c r="G340" s="80">
        <f>SUM(G336:G339)</f>
        <v>6494</v>
      </c>
      <c r="H340" s="80">
        <f>SUM(H336:H339)</f>
        <v>0</v>
      </c>
    </row>
    <row r="342" spans="1:8">
      <c r="A342" s="63" t="s">
        <v>195</v>
      </c>
    </row>
    <row r="343" spans="1:8">
      <c r="A343" s="63"/>
      <c r="E343" s="68" t="s">
        <v>61</v>
      </c>
      <c r="F343" s="68" t="s">
        <v>62</v>
      </c>
      <c r="G343" s="68" t="s">
        <v>63</v>
      </c>
      <c r="H343" s="68" t="s">
        <v>64</v>
      </c>
    </row>
    <row r="344" spans="1:8" s="121" customFormat="1" ht="14.25">
      <c r="A344" s="29" t="s">
        <v>196</v>
      </c>
      <c r="B344" s="82">
        <v>3</v>
      </c>
      <c r="C344" s="30" t="s">
        <v>66</v>
      </c>
      <c r="D344" s="9">
        <v>838</v>
      </c>
      <c r="E344" s="29" t="s">
        <v>11</v>
      </c>
      <c r="F344" s="83">
        <f>B344*D344</f>
        <v>2514</v>
      </c>
      <c r="G344" s="9" t="s">
        <v>11</v>
      </c>
      <c r="H344" s="29" t="s">
        <v>11</v>
      </c>
    </row>
    <row r="345" spans="1:8" s="121" customFormat="1" ht="14.25">
      <c r="A345" s="29" t="s">
        <v>197</v>
      </c>
      <c r="B345" s="82">
        <v>1</v>
      </c>
      <c r="C345" s="30" t="s">
        <v>66</v>
      </c>
      <c r="D345" s="9">
        <v>700</v>
      </c>
      <c r="E345" s="29" t="s">
        <v>11</v>
      </c>
      <c r="F345" s="83">
        <f>B345*D345</f>
        <v>700</v>
      </c>
      <c r="G345" s="9" t="s">
        <v>11</v>
      </c>
      <c r="H345" s="29" t="s">
        <v>11</v>
      </c>
    </row>
    <row r="346" spans="1:8" s="121" customFormat="1" ht="14.25">
      <c r="A346" s="29" t="s">
        <v>68</v>
      </c>
      <c r="B346" s="87">
        <v>1.18E-2</v>
      </c>
      <c r="C346" s="30" t="s">
        <v>69</v>
      </c>
      <c r="D346" s="9">
        <v>170000</v>
      </c>
      <c r="E346" s="29" t="s">
        <v>11</v>
      </c>
      <c r="F346" s="83"/>
      <c r="G346" s="9">
        <f>B346*D346</f>
        <v>2006</v>
      </c>
      <c r="H346" s="29" t="s">
        <v>11</v>
      </c>
    </row>
    <row r="347" spans="1:8">
      <c r="A347" s="76" t="s">
        <v>70</v>
      </c>
      <c r="B347" s="85">
        <f>ROUND((SUM(E347:H347)),0)</f>
        <v>5220</v>
      </c>
      <c r="C347" s="78" t="s">
        <v>71</v>
      </c>
      <c r="D347" s="86"/>
      <c r="E347" s="80">
        <f>SUM(E344:E346)</f>
        <v>0</v>
      </c>
      <c r="F347" s="80">
        <f>SUM(F344:F346)</f>
        <v>3214</v>
      </c>
      <c r="G347" s="80">
        <f>SUM(G344:G346)</f>
        <v>2006</v>
      </c>
      <c r="H347" s="80">
        <f>SUM(H344:H346)</f>
        <v>0</v>
      </c>
    </row>
    <row r="349" spans="1:8">
      <c r="A349" s="63" t="s">
        <v>198</v>
      </c>
    </row>
    <row r="350" spans="1:8">
      <c r="A350" s="63"/>
      <c r="E350" s="68" t="s">
        <v>61</v>
      </c>
      <c r="F350" s="68" t="s">
        <v>62</v>
      </c>
      <c r="G350" s="68" t="s">
        <v>63</v>
      </c>
      <c r="H350" s="68" t="s">
        <v>64</v>
      </c>
    </row>
    <row r="351" spans="1:8" s="121" customFormat="1" ht="14.25">
      <c r="A351" s="29" t="s">
        <v>199</v>
      </c>
      <c r="B351" s="82">
        <v>3</v>
      </c>
      <c r="C351" s="30" t="s">
        <v>18</v>
      </c>
      <c r="D351" s="9">
        <v>1632</v>
      </c>
      <c r="E351" s="29" t="s">
        <v>11</v>
      </c>
      <c r="F351" s="83">
        <f>B351*D351</f>
        <v>4896</v>
      </c>
      <c r="G351" s="9" t="s">
        <v>11</v>
      </c>
      <c r="H351" s="29" t="s">
        <v>11</v>
      </c>
    </row>
    <row r="352" spans="1:8" s="121" customFormat="1" ht="14.25">
      <c r="A352" s="29" t="s">
        <v>196</v>
      </c>
      <c r="B352" s="82">
        <v>1</v>
      </c>
      <c r="C352" s="30" t="s">
        <v>18</v>
      </c>
      <c r="D352" s="9">
        <v>838</v>
      </c>
      <c r="E352" s="29"/>
      <c r="F352" s="83">
        <f>B352*D352</f>
        <v>838</v>
      </c>
      <c r="G352" s="9"/>
      <c r="H352" s="29"/>
    </row>
    <row r="353" spans="1:8" s="121" customFormat="1" ht="14.25">
      <c r="A353" s="29" t="s">
        <v>197</v>
      </c>
      <c r="B353" s="82">
        <v>1</v>
      </c>
      <c r="C353" s="30" t="s">
        <v>18</v>
      </c>
      <c r="D353" s="9">
        <v>700</v>
      </c>
      <c r="E353" s="29" t="s">
        <v>11</v>
      </c>
      <c r="F353" s="83">
        <f>B353*D353</f>
        <v>700</v>
      </c>
      <c r="G353" s="9" t="s">
        <v>11</v>
      </c>
      <c r="H353" s="29" t="s">
        <v>11</v>
      </c>
    </row>
    <row r="354" spans="1:8" s="121" customFormat="1" ht="14.25">
      <c r="A354" s="29" t="s">
        <v>68</v>
      </c>
      <c r="B354" s="91">
        <v>1.6500000000000001E-2</v>
      </c>
      <c r="C354" s="30" t="s">
        <v>69</v>
      </c>
      <c r="D354" s="9">
        <v>170000</v>
      </c>
      <c r="E354" s="29" t="s">
        <v>11</v>
      </c>
      <c r="F354" s="83"/>
      <c r="G354" s="9">
        <f>B354*D354</f>
        <v>2805</v>
      </c>
      <c r="H354" s="29" t="s">
        <v>11</v>
      </c>
    </row>
    <row r="355" spans="1:8">
      <c r="A355" s="76" t="s">
        <v>70</v>
      </c>
      <c r="B355" s="85">
        <f>ROUND((SUM(E355:H355)),0)</f>
        <v>9239</v>
      </c>
      <c r="C355" s="78" t="s">
        <v>71</v>
      </c>
      <c r="D355" s="86"/>
      <c r="E355" s="80">
        <f>SUM(E351:E354)</f>
        <v>0</v>
      </c>
      <c r="F355" s="80">
        <f>SUM(F351:F354)</f>
        <v>6434</v>
      </c>
      <c r="G355" s="80">
        <f>SUM(G351:G354)</f>
        <v>2805</v>
      </c>
      <c r="H355" s="80">
        <f>SUM(H351:H354)</f>
        <v>0</v>
      </c>
    </row>
    <row r="357" spans="1:8">
      <c r="A357" s="63" t="s">
        <v>200</v>
      </c>
    </row>
    <row r="358" spans="1:8">
      <c r="A358" s="63"/>
      <c r="E358" s="68" t="s">
        <v>61</v>
      </c>
      <c r="F358" s="68" t="s">
        <v>62</v>
      </c>
      <c r="G358" s="68" t="s">
        <v>63</v>
      </c>
      <c r="H358" s="68" t="s">
        <v>64</v>
      </c>
    </row>
    <row r="359" spans="1:8" s="121" customFormat="1" ht="14.25">
      <c r="A359" s="29" t="s">
        <v>201</v>
      </c>
      <c r="B359" s="82">
        <v>4</v>
      </c>
      <c r="C359" s="30" t="s">
        <v>66</v>
      </c>
      <c r="D359" s="9">
        <v>680</v>
      </c>
      <c r="E359" s="29" t="s">
        <v>11</v>
      </c>
      <c r="F359" s="83">
        <f>B359*D359</f>
        <v>2720</v>
      </c>
      <c r="G359" s="9" t="s">
        <v>11</v>
      </c>
      <c r="H359" s="29" t="s">
        <v>11</v>
      </c>
    </row>
    <row r="360" spans="1:8" s="121" customFormat="1" ht="14.25">
      <c r="A360" s="29" t="s">
        <v>197</v>
      </c>
      <c r="B360" s="82">
        <v>1</v>
      </c>
      <c r="C360" s="30" t="s">
        <v>66</v>
      </c>
      <c r="D360" s="9">
        <v>700</v>
      </c>
      <c r="E360" s="29" t="s">
        <v>11</v>
      </c>
      <c r="F360" s="83">
        <f>B360*D360</f>
        <v>700</v>
      </c>
      <c r="G360" s="9" t="s">
        <v>11</v>
      </c>
      <c r="H360" s="29" t="s">
        <v>11</v>
      </c>
    </row>
    <row r="361" spans="1:8" s="121" customFormat="1" ht="14.25">
      <c r="A361" s="29" t="s">
        <v>68</v>
      </c>
      <c r="B361" s="91">
        <v>1.18E-2</v>
      </c>
      <c r="C361" s="30" t="s">
        <v>69</v>
      </c>
      <c r="D361" s="9">
        <v>170000</v>
      </c>
      <c r="E361" s="29" t="s">
        <v>11</v>
      </c>
      <c r="F361" s="83"/>
      <c r="G361" s="9">
        <f>B361*D361</f>
        <v>2006</v>
      </c>
      <c r="H361" s="29" t="s">
        <v>11</v>
      </c>
    </row>
    <row r="362" spans="1:8">
      <c r="A362" s="76" t="s">
        <v>70</v>
      </c>
      <c r="B362" s="85">
        <f>ROUND((SUM(E362:H362)),0)</f>
        <v>5426</v>
      </c>
      <c r="C362" s="78" t="s">
        <v>71</v>
      </c>
      <c r="D362" s="86"/>
      <c r="E362" s="80">
        <f>SUM(E359:E361)</f>
        <v>0</v>
      </c>
      <c r="F362" s="80">
        <f>SUM(F359:F361)</f>
        <v>3420</v>
      </c>
      <c r="G362" s="80">
        <f>SUM(G359:G361)</f>
        <v>2006</v>
      </c>
      <c r="H362" s="80">
        <f>SUM(H359:H361)</f>
        <v>0</v>
      </c>
    </row>
    <row r="364" spans="1:8">
      <c r="A364" s="63" t="s">
        <v>202</v>
      </c>
    </row>
    <row r="365" spans="1:8">
      <c r="A365" s="63"/>
      <c r="E365" s="68" t="s">
        <v>61</v>
      </c>
      <c r="F365" s="68" t="s">
        <v>62</v>
      </c>
      <c r="G365" s="68" t="s">
        <v>63</v>
      </c>
      <c r="H365" s="68" t="s">
        <v>64</v>
      </c>
    </row>
    <row r="366" spans="1:8" s="121" customFormat="1" ht="14.25">
      <c r="A366" s="29" t="s">
        <v>98</v>
      </c>
      <c r="B366" s="82">
        <v>3</v>
      </c>
      <c r="C366" s="30" t="s">
        <v>18</v>
      </c>
      <c r="D366" s="9">
        <v>5940</v>
      </c>
      <c r="E366" s="29" t="s">
        <v>11</v>
      </c>
      <c r="F366" s="83">
        <f>B366*D366</f>
        <v>17820</v>
      </c>
      <c r="G366" s="9" t="s">
        <v>11</v>
      </c>
      <c r="H366" s="29" t="s">
        <v>11</v>
      </c>
    </row>
    <row r="367" spans="1:8" s="121" customFormat="1" ht="14.25">
      <c r="A367" s="29" t="s">
        <v>100</v>
      </c>
      <c r="B367" s="82">
        <v>1</v>
      </c>
      <c r="C367" s="30" t="s">
        <v>18</v>
      </c>
      <c r="D367" s="9">
        <v>3850</v>
      </c>
      <c r="E367" s="29"/>
      <c r="F367" s="83">
        <f>B367*D367</f>
        <v>3850</v>
      </c>
      <c r="G367" s="9"/>
      <c r="H367" s="29"/>
    </row>
    <row r="368" spans="1:8" s="121" customFormat="1" ht="14.25">
      <c r="A368" s="29" t="s">
        <v>188</v>
      </c>
      <c r="B368" s="82">
        <v>1</v>
      </c>
      <c r="C368" s="30" t="s">
        <v>66</v>
      </c>
      <c r="D368" s="9">
        <v>1500</v>
      </c>
      <c r="E368" s="29" t="s">
        <v>11</v>
      </c>
      <c r="F368" s="83">
        <f>B368*D368</f>
        <v>1500</v>
      </c>
      <c r="G368" s="9" t="s">
        <v>11</v>
      </c>
      <c r="H368" s="29" t="s">
        <v>11</v>
      </c>
    </row>
    <row r="369" spans="1:8" s="121" customFormat="1" ht="14.25">
      <c r="A369" s="29" t="s">
        <v>68</v>
      </c>
      <c r="B369" s="87">
        <v>0.05</v>
      </c>
      <c r="C369" s="30" t="s">
        <v>69</v>
      </c>
      <c r="D369" s="9">
        <v>170000</v>
      </c>
      <c r="E369" s="29" t="s">
        <v>11</v>
      </c>
      <c r="F369" s="83"/>
      <c r="G369" s="9">
        <f>B369*D369</f>
        <v>8500</v>
      </c>
      <c r="H369" s="29" t="s">
        <v>11</v>
      </c>
    </row>
    <row r="370" spans="1:8">
      <c r="A370" s="76" t="s">
        <v>70</v>
      </c>
      <c r="B370" s="85">
        <f>ROUND((SUM(E370:H370)),0)</f>
        <v>31670</v>
      </c>
      <c r="C370" s="78" t="s">
        <v>71</v>
      </c>
      <c r="D370" s="86"/>
      <c r="E370" s="80">
        <f>SUM(E366:E369)</f>
        <v>0</v>
      </c>
      <c r="F370" s="80">
        <f>SUM(F366:F369)</f>
        <v>23170</v>
      </c>
      <c r="G370" s="80">
        <f>SUM(G366:G369)</f>
        <v>8500</v>
      </c>
      <c r="H370" s="80">
        <f>SUM(H366:H369)</f>
        <v>0</v>
      </c>
    </row>
    <row r="372" spans="1:8">
      <c r="A372" s="63" t="s">
        <v>203</v>
      </c>
    </row>
    <row r="373" spans="1:8">
      <c r="A373" s="63"/>
      <c r="E373" s="68" t="s">
        <v>61</v>
      </c>
      <c r="F373" s="68" t="s">
        <v>62</v>
      </c>
      <c r="G373" s="68" t="s">
        <v>63</v>
      </c>
      <c r="H373" s="68" t="s">
        <v>64</v>
      </c>
    </row>
    <row r="374" spans="1:8" s="121" customFormat="1" ht="14.25">
      <c r="A374" s="29" t="s">
        <v>201</v>
      </c>
      <c r="B374" s="82">
        <v>3</v>
      </c>
      <c r="C374" s="30" t="s">
        <v>66</v>
      </c>
      <c r="D374" s="9">
        <v>680</v>
      </c>
      <c r="E374" s="29" t="s">
        <v>11</v>
      </c>
      <c r="F374" s="83">
        <f>B374*D374</f>
        <v>2040</v>
      </c>
      <c r="G374" s="9" t="s">
        <v>11</v>
      </c>
      <c r="H374" s="29" t="s">
        <v>11</v>
      </c>
    </row>
    <row r="375" spans="1:8" s="121" customFormat="1" ht="14.25">
      <c r="A375" s="29" t="s">
        <v>197</v>
      </c>
      <c r="B375" s="82">
        <v>1</v>
      </c>
      <c r="C375" s="30" t="s">
        <v>66</v>
      </c>
      <c r="D375" s="9">
        <v>700</v>
      </c>
      <c r="E375" s="29" t="s">
        <v>11</v>
      </c>
      <c r="F375" s="83">
        <f>B375*D375</f>
        <v>700</v>
      </c>
      <c r="G375" s="9" t="s">
        <v>11</v>
      </c>
      <c r="H375" s="29" t="s">
        <v>11</v>
      </c>
    </row>
    <row r="376" spans="1:8" s="121" customFormat="1" ht="14.25">
      <c r="A376" s="29" t="s">
        <v>68</v>
      </c>
      <c r="B376" s="91">
        <v>1.18E-2</v>
      </c>
      <c r="C376" s="30" t="s">
        <v>69</v>
      </c>
      <c r="D376" s="9">
        <v>170000</v>
      </c>
      <c r="E376" s="29" t="s">
        <v>11</v>
      </c>
      <c r="F376" s="83"/>
      <c r="G376" s="9">
        <f>B376*D376</f>
        <v>2006</v>
      </c>
      <c r="H376" s="29" t="s">
        <v>11</v>
      </c>
    </row>
    <row r="377" spans="1:8">
      <c r="A377" s="76" t="s">
        <v>70</v>
      </c>
      <c r="B377" s="85">
        <f>ROUND((SUM(E377:H377)),0)</f>
        <v>4746</v>
      </c>
      <c r="C377" s="78" t="s">
        <v>71</v>
      </c>
      <c r="D377" s="86"/>
      <c r="E377" s="80">
        <f>SUM(E374:E376)</f>
        <v>0</v>
      </c>
      <c r="F377" s="80">
        <f>SUM(F374:F376)</f>
        <v>2740</v>
      </c>
      <c r="G377" s="80">
        <f>SUM(G374:G376)</f>
        <v>2006</v>
      </c>
      <c r="H377" s="80">
        <f>SUM(H374:H376)</f>
        <v>0</v>
      </c>
    </row>
    <row r="378" spans="1:8">
      <c r="A378" s="122"/>
      <c r="B378" s="123"/>
      <c r="C378" s="124"/>
      <c r="D378" s="125"/>
      <c r="E378" s="126"/>
      <c r="F378" s="126"/>
      <c r="G378" s="126"/>
      <c r="H378" s="126"/>
    </row>
    <row r="379" spans="1:8">
      <c r="A379" s="63" t="s">
        <v>204</v>
      </c>
    </row>
    <row r="380" spans="1:8">
      <c r="A380" s="63"/>
      <c r="E380" s="68" t="s">
        <v>61</v>
      </c>
      <c r="F380" s="68" t="s">
        <v>62</v>
      </c>
      <c r="G380" s="68" t="s">
        <v>63</v>
      </c>
      <c r="H380" s="68" t="s">
        <v>64</v>
      </c>
    </row>
    <row r="381" spans="1:8">
      <c r="A381" s="29" t="s">
        <v>205</v>
      </c>
      <c r="B381" s="82">
        <v>1</v>
      </c>
      <c r="C381" s="30" t="s">
        <v>49</v>
      </c>
      <c r="D381" s="9">
        <v>150000</v>
      </c>
      <c r="E381" s="29" t="s">
        <v>11</v>
      </c>
      <c r="F381" s="83">
        <f>B381*D381</f>
        <v>150000</v>
      </c>
      <c r="G381" s="9" t="s">
        <v>11</v>
      </c>
      <c r="H381" s="29" t="s">
        <v>11</v>
      </c>
    </row>
    <row r="382" spans="1:8">
      <c r="A382" s="29" t="s">
        <v>68</v>
      </c>
      <c r="B382" s="87">
        <v>0.14710000000000001</v>
      </c>
      <c r="C382" s="30" t="s">
        <v>69</v>
      </c>
      <c r="D382" s="9">
        <v>170000</v>
      </c>
      <c r="E382" s="29" t="s">
        <v>11</v>
      </c>
      <c r="F382" s="29" t="s">
        <v>11</v>
      </c>
      <c r="G382" s="9">
        <f>B382*D382</f>
        <v>25007</v>
      </c>
      <c r="H382" s="29" t="s">
        <v>11</v>
      </c>
    </row>
    <row r="383" spans="1:8">
      <c r="A383" s="76" t="s">
        <v>70</v>
      </c>
      <c r="B383" s="85">
        <f>ROUND((SUM(E383:H383)),0)</f>
        <v>175007</v>
      </c>
      <c r="C383" s="78" t="s">
        <v>73</v>
      </c>
      <c r="D383" s="86"/>
      <c r="E383" s="80">
        <f>SUM(E381:E382)</f>
        <v>0</v>
      </c>
      <c r="F383" s="80">
        <f>SUM(F381:F382)</f>
        <v>150000</v>
      </c>
      <c r="G383" s="80">
        <f>SUM(G381:G382)</f>
        <v>25007</v>
      </c>
      <c r="H383" s="80">
        <f>SUM(H381:H382)</f>
        <v>0</v>
      </c>
    </row>
    <row r="384" spans="1:8">
      <c r="A384" s="122"/>
      <c r="B384" s="123"/>
      <c r="C384" s="124"/>
      <c r="D384" s="125"/>
      <c r="E384" s="126"/>
      <c r="F384" s="126"/>
      <c r="G384" s="126"/>
      <c r="H384" s="126"/>
    </row>
    <row r="385" spans="1:8">
      <c r="A385" s="63" t="s">
        <v>206</v>
      </c>
    </row>
    <row r="386" spans="1:8">
      <c r="A386" s="63"/>
      <c r="E386" s="68" t="s">
        <v>61</v>
      </c>
      <c r="F386" s="68" t="s">
        <v>62</v>
      </c>
      <c r="G386" s="68" t="s">
        <v>63</v>
      </c>
      <c r="H386" s="68" t="s">
        <v>64</v>
      </c>
    </row>
    <row r="387" spans="1:8">
      <c r="A387" s="29" t="s">
        <v>207</v>
      </c>
      <c r="B387" s="82">
        <v>1</v>
      </c>
      <c r="C387" s="30" t="s">
        <v>49</v>
      </c>
      <c r="D387" s="9">
        <v>150000</v>
      </c>
      <c r="E387" s="29" t="s">
        <v>11</v>
      </c>
      <c r="F387" s="83">
        <f>B387*D387</f>
        <v>150000</v>
      </c>
      <c r="G387" s="9" t="s">
        <v>11</v>
      </c>
      <c r="H387" s="29" t="s">
        <v>11</v>
      </c>
    </row>
    <row r="388" spans="1:8">
      <c r="A388" s="29" t="s">
        <v>68</v>
      </c>
      <c r="B388" s="87">
        <v>0.14710000000000001</v>
      </c>
      <c r="C388" s="30" t="s">
        <v>69</v>
      </c>
      <c r="D388" s="9">
        <v>170000</v>
      </c>
      <c r="E388" s="29" t="s">
        <v>11</v>
      </c>
      <c r="F388" s="29" t="s">
        <v>11</v>
      </c>
      <c r="G388" s="9">
        <f>B388*D388</f>
        <v>25007</v>
      </c>
      <c r="H388" s="29" t="s">
        <v>11</v>
      </c>
    </row>
    <row r="389" spans="1:8">
      <c r="A389" s="76" t="s">
        <v>70</v>
      </c>
      <c r="B389" s="85">
        <f>ROUND((SUM(E389:H389)),0)</f>
        <v>175007</v>
      </c>
      <c r="C389" s="78" t="s">
        <v>73</v>
      </c>
      <c r="D389" s="86"/>
      <c r="E389" s="80">
        <f>SUM(E387:E388)</f>
        <v>0</v>
      </c>
      <c r="F389" s="80">
        <f>SUM(F387:F388)</f>
        <v>150000</v>
      </c>
      <c r="G389" s="80">
        <f>SUM(G387:G388)</f>
        <v>25007</v>
      </c>
      <c r="H389" s="80">
        <f>SUM(H387:H388)</f>
        <v>0</v>
      </c>
    </row>
    <row r="391" spans="1:8">
      <c r="A391" s="63" t="s">
        <v>208</v>
      </c>
    </row>
    <row r="392" spans="1:8">
      <c r="A392" s="63"/>
      <c r="E392" s="68" t="s">
        <v>61</v>
      </c>
      <c r="F392" s="68" t="s">
        <v>62</v>
      </c>
      <c r="G392" s="68" t="s">
        <v>63</v>
      </c>
      <c r="H392" s="68" t="s">
        <v>64</v>
      </c>
    </row>
    <row r="393" spans="1:8">
      <c r="A393" s="29" t="s">
        <v>45</v>
      </c>
      <c r="B393" s="82">
        <v>1</v>
      </c>
      <c r="C393" s="30" t="s">
        <v>49</v>
      </c>
      <c r="D393" s="9">
        <v>6500</v>
      </c>
      <c r="E393" s="29" t="s">
        <v>11</v>
      </c>
      <c r="F393" s="83">
        <f>B393*D393</f>
        <v>6500</v>
      </c>
      <c r="G393" s="9" t="s">
        <v>11</v>
      </c>
      <c r="H393" s="29" t="s">
        <v>11</v>
      </c>
    </row>
    <row r="394" spans="1:8">
      <c r="A394" s="29" t="s">
        <v>68</v>
      </c>
      <c r="B394" s="87">
        <v>8.8230000000000003E-2</v>
      </c>
      <c r="C394" s="30" t="s">
        <v>69</v>
      </c>
      <c r="D394" s="9">
        <v>170000</v>
      </c>
      <c r="E394" s="29" t="s">
        <v>11</v>
      </c>
      <c r="F394" s="29" t="s">
        <v>11</v>
      </c>
      <c r="G394" s="9">
        <f>B394*D394</f>
        <v>14999.1</v>
      </c>
      <c r="H394" s="29" t="s">
        <v>11</v>
      </c>
    </row>
    <row r="395" spans="1:8">
      <c r="A395" s="76" t="s">
        <v>70</v>
      </c>
      <c r="B395" s="85">
        <f>ROUND((SUM(E395:H395)),0)</f>
        <v>21499</v>
      </c>
      <c r="C395" s="78" t="s">
        <v>73</v>
      </c>
      <c r="D395" s="86"/>
      <c r="E395" s="80">
        <f>SUM(E393:E394)</f>
        <v>0</v>
      </c>
      <c r="F395" s="80">
        <f>SUM(F393:F394)</f>
        <v>6500</v>
      </c>
      <c r="G395" s="80">
        <f>SUM(G393:G394)</f>
        <v>14999.1</v>
      </c>
      <c r="H395" s="80">
        <f>SUM(H393:H394)</f>
        <v>0</v>
      </c>
    </row>
    <row r="397" spans="1:8">
      <c r="A397" s="63" t="s">
        <v>209</v>
      </c>
    </row>
    <row r="398" spans="1:8">
      <c r="A398" s="63"/>
      <c r="E398" s="68" t="s">
        <v>61</v>
      </c>
      <c r="F398" s="68" t="s">
        <v>62</v>
      </c>
      <c r="G398" s="68" t="s">
        <v>63</v>
      </c>
      <c r="H398" s="68" t="s">
        <v>64</v>
      </c>
    </row>
    <row r="399" spans="1:8">
      <c r="A399" s="29" t="s">
        <v>46</v>
      </c>
      <c r="B399" s="82">
        <v>1</v>
      </c>
      <c r="C399" s="30" t="s">
        <v>49</v>
      </c>
      <c r="D399" s="9">
        <v>6500</v>
      </c>
      <c r="E399" s="29" t="s">
        <v>11</v>
      </c>
      <c r="F399" s="83">
        <f>B399*D399</f>
        <v>6500</v>
      </c>
      <c r="G399" s="9" t="s">
        <v>11</v>
      </c>
      <c r="H399" s="29" t="s">
        <v>11</v>
      </c>
    </row>
    <row r="400" spans="1:8">
      <c r="A400" s="29" t="s">
        <v>68</v>
      </c>
      <c r="B400" s="87">
        <v>8.8230000000000003E-2</v>
      </c>
      <c r="C400" s="30" t="s">
        <v>69</v>
      </c>
      <c r="D400" s="9">
        <v>170000</v>
      </c>
      <c r="E400" s="29" t="s">
        <v>11</v>
      </c>
      <c r="F400" s="29" t="s">
        <v>11</v>
      </c>
      <c r="G400" s="9">
        <f>B400*D400</f>
        <v>14999.1</v>
      </c>
      <c r="H400" s="29" t="s">
        <v>11</v>
      </c>
    </row>
    <row r="401" spans="1:8">
      <c r="A401" s="76" t="s">
        <v>70</v>
      </c>
      <c r="B401" s="85">
        <f>ROUND((SUM(E401:H401)),0)</f>
        <v>21499</v>
      </c>
      <c r="C401" s="78" t="s">
        <v>73</v>
      </c>
      <c r="D401" s="86"/>
      <c r="E401" s="80">
        <f>SUM(E399:E400)</f>
        <v>0</v>
      </c>
      <c r="F401" s="80">
        <f>SUM(F399:F400)</f>
        <v>6500</v>
      </c>
      <c r="G401" s="80">
        <f>SUM(G399:G400)</f>
        <v>14999.1</v>
      </c>
      <c r="H401" s="80">
        <f>SUM(H399:H400)</f>
        <v>0</v>
      </c>
    </row>
    <row r="403" spans="1:8">
      <c r="A403" s="63" t="s">
        <v>210</v>
      </c>
    </row>
    <row r="404" spans="1:8">
      <c r="A404" s="63"/>
      <c r="E404" s="68" t="s">
        <v>61</v>
      </c>
      <c r="F404" s="68" t="s">
        <v>62</v>
      </c>
      <c r="G404" s="68" t="s">
        <v>63</v>
      </c>
      <c r="H404" s="68" t="s">
        <v>64</v>
      </c>
    </row>
    <row r="405" spans="1:8">
      <c r="A405" s="29" t="s">
        <v>211</v>
      </c>
      <c r="B405" s="82">
        <v>1</v>
      </c>
      <c r="C405" s="30" t="s">
        <v>49</v>
      </c>
      <c r="D405" s="9">
        <v>6500</v>
      </c>
      <c r="E405" s="29" t="s">
        <v>11</v>
      </c>
      <c r="F405" s="83">
        <f>B405*D405</f>
        <v>6500</v>
      </c>
      <c r="G405" s="9" t="s">
        <v>11</v>
      </c>
      <c r="H405" s="29" t="s">
        <v>11</v>
      </c>
    </row>
    <row r="406" spans="1:8">
      <c r="A406" s="29" t="s">
        <v>68</v>
      </c>
      <c r="B406" s="87">
        <v>8.8230000000000003E-2</v>
      </c>
      <c r="C406" s="30" t="s">
        <v>69</v>
      </c>
      <c r="D406" s="9">
        <v>170000</v>
      </c>
      <c r="E406" s="29" t="s">
        <v>11</v>
      </c>
      <c r="F406" s="29" t="s">
        <v>11</v>
      </c>
      <c r="G406" s="9">
        <f>B406*D406</f>
        <v>14999.1</v>
      </c>
      <c r="H406" s="29" t="s">
        <v>11</v>
      </c>
    </row>
    <row r="407" spans="1:8">
      <c r="A407" s="76" t="s">
        <v>70</v>
      </c>
      <c r="B407" s="85">
        <f>ROUND((SUM(E407:H407)),0)</f>
        <v>21499</v>
      </c>
      <c r="C407" s="78" t="s">
        <v>73</v>
      </c>
      <c r="D407" s="86"/>
      <c r="E407" s="80">
        <f>SUM(E405:E406)</f>
        <v>0</v>
      </c>
      <c r="F407" s="80">
        <f>SUM(F405:F406)</f>
        <v>6500</v>
      </c>
      <c r="G407" s="80">
        <f>SUM(G405:G406)</f>
        <v>14999.1</v>
      </c>
      <c r="H407" s="80">
        <f>SUM(H405:H406)</f>
        <v>0</v>
      </c>
    </row>
    <row r="409" spans="1:8">
      <c r="A409" s="63" t="s">
        <v>212</v>
      </c>
    </row>
    <row r="410" spans="1:8">
      <c r="A410" s="63"/>
      <c r="E410" s="68" t="s">
        <v>61</v>
      </c>
      <c r="F410" s="68" t="s">
        <v>62</v>
      </c>
      <c r="G410" s="68" t="s">
        <v>63</v>
      </c>
      <c r="H410" s="68" t="s">
        <v>64</v>
      </c>
    </row>
    <row r="411" spans="1:8">
      <c r="A411" s="29" t="s">
        <v>213</v>
      </c>
      <c r="B411" s="82">
        <v>1</v>
      </c>
      <c r="C411" s="30" t="s">
        <v>49</v>
      </c>
      <c r="D411" s="9">
        <v>15000</v>
      </c>
      <c r="E411" s="29" t="s">
        <v>11</v>
      </c>
      <c r="F411" s="83">
        <f>B411*D411</f>
        <v>15000</v>
      </c>
      <c r="G411" s="9" t="s">
        <v>11</v>
      </c>
      <c r="H411" s="29" t="s">
        <v>11</v>
      </c>
    </row>
    <row r="412" spans="1:8">
      <c r="A412" s="29" t="s">
        <v>68</v>
      </c>
      <c r="B412" s="87">
        <v>8.8230000000000003E-2</v>
      </c>
      <c r="C412" s="30" t="s">
        <v>69</v>
      </c>
      <c r="D412" s="9">
        <v>170000</v>
      </c>
      <c r="E412" s="29" t="s">
        <v>11</v>
      </c>
      <c r="F412" s="29" t="s">
        <v>11</v>
      </c>
      <c r="G412" s="9">
        <f>B412*D412</f>
        <v>14999.1</v>
      </c>
      <c r="H412" s="29" t="s">
        <v>11</v>
      </c>
    </row>
    <row r="413" spans="1:8">
      <c r="A413" s="76" t="s">
        <v>70</v>
      </c>
      <c r="B413" s="85">
        <f>ROUND((SUM(E413:H413)),0)</f>
        <v>29999</v>
      </c>
      <c r="C413" s="78" t="s">
        <v>73</v>
      </c>
      <c r="D413" s="86"/>
      <c r="E413" s="80">
        <f>SUM(E411:E412)</f>
        <v>0</v>
      </c>
      <c r="F413" s="80">
        <f>SUM(F411:F412)</f>
        <v>15000</v>
      </c>
      <c r="G413" s="80">
        <f>SUM(G411:G412)</f>
        <v>14999.1</v>
      </c>
      <c r="H413" s="80">
        <f>SUM(H411:H412)</f>
        <v>0</v>
      </c>
    </row>
    <row r="415" spans="1:8">
      <c r="A415" s="63" t="s">
        <v>214</v>
      </c>
    </row>
    <row r="416" spans="1:8">
      <c r="A416" s="63"/>
      <c r="E416" s="68" t="s">
        <v>61</v>
      </c>
      <c r="F416" s="68" t="s">
        <v>62</v>
      </c>
      <c r="G416" s="68" t="s">
        <v>63</v>
      </c>
      <c r="H416" s="68" t="s">
        <v>64</v>
      </c>
    </row>
    <row r="417" spans="1:8">
      <c r="A417" s="29" t="s">
        <v>47</v>
      </c>
      <c r="B417" s="82">
        <v>1</v>
      </c>
      <c r="C417" s="30" t="s">
        <v>49</v>
      </c>
      <c r="D417" s="9">
        <v>15000</v>
      </c>
      <c r="E417" s="29" t="s">
        <v>11</v>
      </c>
      <c r="F417" s="83">
        <f>B417*D417</f>
        <v>15000</v>
      </c>
      <c r="G417" s="9" t="s">
        <v>11</v>
      </c>
      <c r="H417" s="29" t="s">
        <v>11</v>
      </c>
    </row>
    <row r="418" spans="1:8">
      <c r="A418" s="29" t="s">
        <v>68</v>
      </c>
      <c r="B418" s="87">
        <v>8.8230000000000003E-2</v>
      </c>
      <c r="C418" s="30" t="s">
        <v>69</v>
      </c>
      <c r="D418" s="9">
        <v>170000</v>
      </c>
      <c r="E418" s="29" t="s">
        <v>11</v>
      </c>
      <c r="F418" s="29" t="s">
        <v>11</v>
      </c>
      <c r="G418" s="9">
        <f>B418*D418</f>
        <v>14999.1</v>
      </c>
      <c r="H418" s="29" t="s">
        <v>11</v>
      </c>
    </row>
    <row r="419" spans="1:8">
      <c r="A419" s="76" t="s">
        <v>70</v>
      </c>
      <c r="B419" s="85">
        <f>ROUND((SUM(E419:H419)),0)</f>
        <v>29999</v>
      </c>
      <c r="C419" s="78" t="s">
        <v>73</v>
      </c>
      <c r="D419" s="86"/>
      <c r="E419" s="80">
        <f>SUM(E417:E418)</f>
        <v>0</v>
      </c>
      <c r="F419" s="80">
        <f>SUM(F417:F418)</f>
        <v>15000</v>
      </c>
      <c r="G419" s="80">
        <f>SUM(G417:G418)</f>
        <v>14999.1</v>
      </c>
      <c r="H419" s="80">
        <f>SUM(H417:H418)</f>
        <v>0</v>
      </c>
    </row>
    <row r="421" spans="1:8">
      <c r="A421" s="63" t="s">
        <v>215</v>
      </c>
    </row>
    <row r="422" spans="1:8">
      <c r="A422" s="63"/>
      <c r="E422" s="68" t="s">
        <v>61</v>
      </c>
      <c r="F422" s="68" t="s">
        <v>62</v>
      </c>
      <c r="G422" s="68" t="s">
        <v>63</v>
      </c>
      <c r="H422" s="68" t="s">
        <v>64</v>
      </c>
    </row>
    <row r="423" spans="1:8">
      <c r="A423" s="29" t="s">
        <v>216</v>
      </c>
      <c r="B423" s="82">
        <v>1</v>
      </c>
      <c r="C423" s="30" t="s">
        <v>49</v>
      </c>
      <c r="D423" s="9">
        <v>40000</v>
      </c>
      <c r="E423" s="29" t="s">
        <v>11</v>
      </c>
      <c r="F423" s="83">
        <f>B423*D423</f>
        <v>40000</v>
      </c>
      <c r="G423" s="9" t="s">
        <v>11</v>
      </c>
      <c r="H423" s="29" t="s">
        <v>11</v>
      </c>
    </row>
    <row r="424" spans="1:8">
      <c r="A424" s="29" t="s">
        <v>68</v>
      </c>
      <c r="B424" s="87">
        <v>0.1176</v>
      </c>
      <c r="C424" s="30" t="s">
        <v>69</v>
      </c>
      <c r="D424" s="9">
        <v>170000</v>
      </c>
      <c r="E424" s="29" t="s">
        <v>11</v>
      </c>
      <c r="F424" s="29" t="s">
        <v>11</v>
      </c>
      <c r="G424" s="9">
        <f>B424*D424</f>
        <v>19992</v>
      </c>
      <c r="H424" s="29" t="s">
        <v>11</v>
      </c>
    </row>
    <row r="425" spans="1:8">
      <c r="A425" s="76" t="s">
        <v>70</v>
      </c>
      <c r="B425" s="85">
        <f>ROUND((SUM(E425:H425)),0)</f>
        <v>59992</v>
      </c>
      <c r="C425" s="78" t="s">
        <v>73</v>
      </c>
      <c r="D425" s="86"/>
      <c r="E425" s="80">
        <f>SUM(E423:E424)</f>
        <v>0</v>
      </c>
      <c r="F425" s="80">
        <f>SUM(F423:F424)</f>
        <v>40000</v>
      </c>
      <c r="G425" s="80">
        <f>SUM(G423:G424)</f>
        <v>19992</v>
      </c>
      <c r="H425" s="80">
        <f>SUM(H423:H424)</f>
        <v>0</v>
      </c>
    </row>
    <row r="427" spans="1:8">
      <c r="A427" s="63" t="s">
        <v>217</v>
      </c>
    </row>
    <row r="428" spans="1:8">
      <c r="A428" s="63"/>
      <c r="E428" s="68" t="s">
        <v>61</v>
      </c>
      <c r="F428" s="68" t="s">
        <v>62</v>
      </c>
      <c r="G428" s="68" t="s">
        <v>63</v>
      </c>
      <c r="H428" s="68" t="s">
        <v>64</v>
      </c>
    </row>
    <row r="429" spans="1:8">
      <c r="A429" s="29" t="s">
        <v>218</v>
      </c>
      <c r="B429" s="82">
        <v>1</v>
      </c>
      <c r="C429" s="30" t="s">
        <v>49</v>
      </c>
      <c r="D429" s="9">
        <v>40000</v>
      </c>
      <c r="E429" s="29" t="s">
        <v>11</v>
      </c>
      <c r="F429" s="83">
        <f>B429*D429</f>
        <v>40000</v>
      </c>
      <c r="G429" s="9" t="s">
        <v>11</v>
      </c>
      <c r="H429" s="29" t="s">
        <v>11</v>
      </c>
    </row>
    <row r="430" spans="1:8">
      <c r="A430" s="29" t="s">
        <v>68</v>
      </c>
      <c r="B430" s="87">
        <v>0.1176</v>
      </c>
      <c r="C430" s="30" t="s">
        <v>69</v>
      </c>
      <c r="D430" s="9">
        <v>170000</v>
      </c>
      <c r="E430" s="29" t="s">
        <v>11</v>
      </c>
      <c r="F430" s="29" t="s">
        <v>11</v>
      </c>
      <c r="G430" s="9">
        <f>B430*D430</f>
        <v>19992</v>
      </c>
      <c r="H430" s="29" t="s">
        <v>11</v>
      </c>
    </row>
    <row r="431" spans="1:8">
      <c r="A431" s="76" t="s">
        <v>70</v>
      </c>
      <c r="B431" s="85">
        <f>ROUND((SUM(E431:H431)),0)</f>
        <v>59992</v>
      </c>
      <c r="C431" s="78" t="s">
        <v>73</v>
      </c>
      <c r="D431" s="86"/>
      <c r="E431" s="80">
        <f>SUM(E429:E430)</f>
        <v>0</v>
      </c>
      <c r="F431" s="80">
        <f>SUM(F429:F430)</f>
        <v>40000</v>
      </c>
      <c r="G431" s="80">
        <f>SUM(G429:G430)</f>
        <v>19992</v>
      </c>
      <c r="H431" s="80">
        <f>SUM(H429:H430)</f>
        <v>0</v>
      </c>
    </row>
    <row r="433" spans="1:8">
      <c r="A433" s="63" t="s">
        <v>219</v>
      </c>
    </row>
    <row r="434" spans="1:8">
      <c r="A434" s="63"/>
      <c r="E434" s="68" t="s">
        <v>61</v>
      </c>
      <c r="F434" s="68" t="s">
        <v>62</v>
      </c>
      <c r="G434" s="68" t="s">
        <v>63</v>
      </c>
      <c r="H434" s="68" t="s">
        <v>64</v>
      </c>
    </row>
    <row r="435" spans="1:8">
      <c r="A435" s="29" t="s">
        <v>220</v>
      </c>
      <c r="B435" s="82">
        <v>1</v>
      </c>
      <c r="C435" s="30" t="s">
        <v>49</v>
      </c>
      <c r="D435" s="9">
        <v>8500</v>
      </c>
      <c r="E435" s="29" t="s">
        <v>11</v>
      </c>
      <c r="F435" s="83">
        <f>B435*D435</f>
        <v>8500</v>
      </c>
      <c r="G435" s="9" t="s">
        <v>11</v>
      </c>
      <c r="H435" s="29" t="s">
        <v>11</v>
      </c>
    </row>
    <row r="436" spans="1:8">
      <c r="A436" s="29" t="s">
        <v>68</v>
      </c>
      <c r="B436" s="87">
        <v>8.8230000000000003E-2</v>
      </c>
      <c r="C436" s="30" t="s">
        <v>69</v>
      </c>
      <c r="D436" s="9">
        <v>170000</v>
      </c>
      <c r="E436" s="29" t="s">
        <v>11</v>
      </c>
      <c r="F436" s="29" t="s">
        <v>11</v>
      </c>
      <c r="G436" s="9">
        <f>B436*D436</f>
        <v>14999.1</v>
      </c>
      <c r="H436" s="29" t="s">
        <v>11</v>
      </c>
    </row>
    <row r="437" spans="1:8">
      <c r="A437" s="76" t="s">
        <v>70</v>
      </c>
      <c r="B437" s="85">
        <f>ROUND((SUM(E437:H437)),0)</f>
        <v>23499</v>
      </c>
      <c r="C437" s="78" t="s">
        <v>73</v>
      </c>
      <c r="D437" s="86"/>
      <c r="E437" s="80">
        <f>SUM(E435:E436)</f>
        <v>0</v>
      </c>
      <c r="F437" s="80">
        <f>SUM(F435:F436)</f>
        <v>8500</v>
      </c>
      <c r="G437" s="80">
        <f>SUM(G435:G436)</f>
        <v>14999.1</v>
      </c>
      <c r="H437" s="80">
        <f>SUM(H435:H436)</f>
        <v>0</v>
      </c>
    </row>
    <row r="439" spans="1:8">
      <c r="A439" s="63" t="s">
        <v>221</v>
      </c>
    </row>
    <row r="440" spans="1:8">
      <c r="A440" s="63"/>
      <c r="E440" s="68" t="s">
        <v>61</v>
      </c>
      <c r="F440" s="68" t="s">
        <v>62</v>
      </c>
      <c r="G440" s="68" t="s">
        <v>63</v>
      </c>
      <c r="H440" s="68" t="s">
        <v>64</v>
      </c>
    </row>
    <row r="441" spans="1:8">
      <c r="A441" s="29" t="s">
        <v>222</v>
      </c>
      <c r="B441" s="82">
        <v>1</v>
      </c>
      <c r="C441" s="30" t="s">
        <v>49</v>
      </c>
      <c r="D441" s="9">
        <v>95000</v>
      </c>
      <c r="E441" s="29" t="s">
        <v>11</v>
      </c>
      <c r="F441" s="83">
        <f>B441*D441</f>
        <v>95000</v>
      </c>
      <c r="G441" s="9" t="s">
        <v>11</v>
      </c>
      <c r="H441" s="29" t="s">
        <v>11</v>
      </c>
    </row>
    <row r="442" spans="1:8">
      <c r="A442" s="29" t="s">
        <v>68</v>
      </c>
      <c r="B442" s="87">
        <v>8.8230000000000003E-2</v>
      </c>
      <c r="C442" s="30" t="s">
        <v>69</v>
      </c>
      <c r="D442" s="9">
        <v>170000</v>
      </c>
      <c r="E442" s="29" t="s">
        <v>11</v>
      </c>
      <c r="F442" s="29" t="s">
        <v>11</v>
      </c>
      <c r="G442" s="9">
        <f>B442*D442</f>
        <v>14999.1</v>
      </c>
      <c r="H442" s="29" t="s">
        <v>11</v>
      </c>
    </row>
    <row r="443" spans="1:8">
      <c r="A443" s="76" t="s">
        <v>70</v>
      </c>
      <c r="B443" s="85">
        <f>ROUND((SUM(E443:H443)),0)</f>
        <v>109999</v>
      </c>
      <c r="C443" s="78" t="s">
        <v>73</v>
      </c>
      <c r="D443" s="86"/>
      <c r="E443" s="80">
        <f>SUM(E441:E442)</f>
        <v>0</v>
      </c>
      <c r="F443" s="80">
        <f>SUM(F441:F442)</f>
        <v>95000</v>
      </c>
      <c r="G443" s="80">
        <f>SUM(G441:G442)</f>
        <v>14999.1</v>
      </c>
      <c r="H443" s="80">
        <f>SUM(H441:H442)</f>
        <v>0</v>
      </c>
    </row>
    <row r="445" spans="1:8">
      <c r="A445" s="63" t="s">
        <v>223</v>
      </c>
    </row>
    <row r="446" spans="1:8">
      <c r="A446" s="63"/>
      <c r="E446" s="68" t="s">
        <v>61</v>
      </c>
      <c r="F446" s="68" t="s">
        <v>62</v>
      </c>
      <c r="G446" s="68" t="s">
        <v>63</v>
      </c>
      <c r="H446" s="68" t="s">
        <v>64</v>
      </c>
    </row>
    <row r="447" spans="1:8">
      <c r="A447" s="29" t="s">
        <v>224</v>
      </c>
      <c r="B447" s="82">
        <v>1</v>
      </c>
      <c r="C447" s="30" t="s">
        <v>49</v>
      </c>
      <c r="D447" s="9">
        <v>1200</v>
      </c>
      <c r="E447" s="29" t="s">
        <v>11</v>
      </c>
      <c r="F447" s="83">
        <f t="shared" ref="F447:F452" si="3">B447*D447</f>
        <v>1200</v>
      </c>
      <c r="G447" s="9" t="s">
        <v>11</v>
      </c>
      <c r="H447" s="29" t="s">
        <v>11</v>
      </c>
    </row>
    <row r="448" spans="1:8">
      <c r="A448" s="29" t="s">
        <v>323</v>
      </c>
      <c r="B448" s="82">
        <v>1</v>
      </c>
      <c r="C448" s="30" t="s">
        <v>8</v>
      </c>
      <c r="D448" s="9">
        <v>1300</v>
      </c>
      <c r="E448" s="29"/>
      <c r="F448" s="83">
        <f t="shared" si="3"/>
        <v>1300</v>
      </c>
      <c r="G448" s="9"/>
      <c r="H448" s="29"/>
    </row>
    <row r="449" spans="1:8">
      <c r="A449" s="29" t="s">
        <v>201</v>
      </c>
      <c r="B449" s="82">
        <v>15</v>
      </c>
      <c r="C449" s="30" t="s">
        <v>66</v>
      </c>
      <c r="D449" s="9">
        <v>680</v>
      </c>
      <c r="E449" s="29" t="s">
        <v>11</v>
      </c>
      <c r="F449" s="83">
        <f t="shared" si="3"/>
        <v>10200</v>
      </c>
      <c r="G449" s="9" t="s">
        <v>11</v>
      </c>
      <c r="H449" s="29" t="s">
        <v>11</v>
      </c>
    </row>
    <row r="450" spans="1:8">
      <c r="A450" s="29" t="s">
        <v>197</v>
      </c>
      <c r="B450" s="82">
        <v>5</v>
      </c>
      <c r="C450" s="30" t="s">
        <v>66</v>
      </c>
      <c r="D450" s="29">
        <v>700</v>
      </c>
      <c r="E450" s="29" t="s">
        <v>11</v>
      </c>
      <c r="F450" s="83">
        <f t="shared" si="3"/>
        <v>3500</v>
      </c>
      <c r="G450" s="9" t="s">
        <v>11</v>
      </c>
      <c r="H450" s="29" t="s">
        <v>11</v>
      </c>
    </row>
    <row r="451" spans="1:8">
      <c r="A451" s="29" t="s">
        <v>225</v>
      </c>
      <c r="B451" s="82">
        <v>2</v>
      </c>
      <c r="C451" s="30" t="s">
        <v>49</v>
      </c>
      <c r="D451" s="29">
        <v>190</v>
      </c>
      <c r="E451" s="29" t="s">
        <v>11</v>
      </c>
      <c r="F451" s="83">
        <f t="shared" si="3"/>
        <v>380</v>
      </c>
      <c r="G451" s="9" t="s">
        <v>11</v>
      </c>
      <c r="H451" s="29" t="s">
        <v>11</v>
      </c>
    </row>
    <row r="452" spans="1:8">
      <c r="A452" s="29" t="s">
        <v>226</v>
      </c>
      <c r="B452" s="82">
        <v>3</v>
      </c>
      <c r="C452" s="30" t="s">
        <v>49</v>
      </c>
      <c r="D452" s="29">
        <v>850</v>
      </c>
      <c r="E452" s="29" t="s">
        <v>11</v>
      </c>
      <c r="F452" s="83">
        <f t="shared" si="3"/>
        <v>2550</v>
      </c>
      <c r="G452" s="9" t="s">
        <v>11</v>
      </c>
      <c r="H452" s="29" t="s">
        <v>11</v>
      </c>
    </row>
    <row r="453" spans="1:8">
      <c r="A453" s="29" t="s">
        <v>68</v>
      </c>
      <c r="B453" s="89">
        <v>0.12</v>
      </c>
      <c r="C453" s="30" t="s">
        <v>69</v>
      </c>
      <c r="D453" s="9">
        <v>170000</v>
      </c>
      <c r="E453" s="29" t="s">
        <v>11</v>
      </c>
      <c r="F453" s="29" t="s">
        <v>11</v>
      </c>
      <c r="G453" s="9">
        <f>B453*D453</f>
        <v>20400</v>
      </c>
      <c r="H453" s="29" t="s">
        <v>11</v>
      </c>
    </row>
    <row r="454" spans="1:8">
      <c r="A454" s="76" t="s">
        <v>70</v>
      </c>
      <c r="B454" s="85">
        <f>ROUND((SUM(E454:H454)),0)</f>
        <v>39530</v>
      </c>
      <c r="C454" s="78" t="s">
        <v>73</v>
      </c>
      <c r="D454" s="86"/>
      <c r="E454" s="80">
        <f>SUM(E447:E453)</f>
        <v>0</v>
      </c>
      <c r="F454" s="80">
        <f>SUM(F447:F453)</f>
        <v>19130</v>
      </c>
      <c r="G454" s="80">
        <f>SUM(G447:G453)</f>
        <v>20400</v>
      </c>
      <c r="H454" s="80">
        <f>SUM(H447:H453)</f>
        <v>0</v>
      </c>
    </row>
    <row r="456" spans="1:8">
      <c r="A456" s="63" t="s">
        <v>227</v>
      </c>
    </row>
    <row r="457" spans="1:8">
      <c r="A457" s="63"/>
      <c r="E457" s="68" t="s">
        <v>61</v>
      </c>
      <c r="F457" s="68" t="s">
        <v>62</v>
      </c>
      <c r="G457" s="68" t="s">
        <v>63</v>
      </c>
      <c r="H457" s="68" t="s">
        <v>64</v>
      </c>
    </row>
    <row r="458" spans="1:8">
      <c r="A458" s="29" t="s">
        <v>224</v>
      </c>
      <c r="B458" s="82">
        <v>1</v>
      </c>
      <c r="C458" s="30" t="s">
        <v>49</v>
      </c>
      <c r="D458" s="9">
        <v>1200</v>
      </c>
      <c r="E458" s="29" t="s">
        <v>11</v>
      </c>
      <c r="F458" s="83">
        <f t="shared" ref="F458:F463" si="4">B458*D458</f>
        <v>1200</v>
      </c>
      <c r="G458" s="9" t="s">
        <v>11</v>
      </c>
      <c r="H458" s="29" t="s">
        <v>11</v>
      </c>
    </row>
    <row r="459" spans="1:8">
      <c r="A459" s="29" t="s">
        <v>201</v>
      </c>
      <c r="B459" s="82">
        <v>18</v>
      </c>
      <c r="C459" s="30" t="s">
        <v>66</v>
      </c>
      <c r="D459" s="9">
        <v>680</v>
      </c>
      <c r="E459" s="29" t="s">
        <v>11</v>
      </c>
      <c r="F459" s="83">
        <f t="shared" si="4"/>
        <v>12240</v>
      </c>
      <c r="G459" s="9" t="s">
        <v>11</v>
      </c>
      <c r="H459" s="29" t="s">
        <v>11</v>
      </c>
    </row>
    <row r="460" spans="1:8">
      <c r="A460" s="29" t="s">
        <v>228</v>
      </c>
      <c r="B460" s="82">
        <v>6</v>
      </c>
      <c r="C460" s="30" t="s">
        <v>66</v>
      </c>
      <c r="D460" s="29">
        <v>1900</v>
      </c>
      <c r="E460" s="29" t="s">
        <v>11</v>
      </c>
      <c r="F460" s="83">
        <f t="shared" si="4"/>
        <v>11400</v>
      </c>
      <c r="G460" s="9" t="s">
        <v>11</v>
      </c>
      <c r="H460" s="29" t="s">
        <v>11</v>
      </c>
    </row>
    <row r="461" spans="1:8">
      <c r="A461" s="29" t="s">
        <v>229</v>
      </c>
      <c r="B461" s="82">
        <v>1</v>
      </c>
      <c r="C461" s="30" t="s">
        <v>8</v>
      </c>
      <c r="D461" s="29">
        <v>400</v>
      </c>
      <c r="E461" s="29"/>
      <c r="F461" s="83">
        <f t="shared" si="4"/>
        <v>400</v>
      </c>
      <c r="G461" s="9"/>
      <c r="H461" s="29"/>
    </row>
    <row r="462" spans="1:8">
      <c r="A462" s="29" t="s">
        <v>230</v>
      </c>
      <c r="B462" s="82">
        <v>2</v>
      </c>
      <c r="C462" s="30" t="s">
        <v>49</v>
      </c>
      <c r="D462" s="29">
        <v>400</v>
      </c>
      <c r="E462" s="29" t="s">
        <v>11</v>
      </c>
      <c r="F462" s="83">
        <f t="shared" si="4"/>
        <v>800</v>
      </c>
      <c r="G462" s="9" t="s">
        <v>11</v>
      </c>
      <c r="H462" s="29" t="s">
        <v>11</v>
      </c>
    </row>
    <row r="463" spans="1:8">
      <c r="A463" s="29" t="s">
        <v>226</v>
      </c>
      <c r="B463" s="82">
        <v>3</v>
      </c>
      <c r="C463" s="30" t="s">
        <v>49</v>
      </c>
      <c r="D463" s="29">
        <v>850</v>
      </c>
      <c r="E463" s="29" t="s">
        <v>11</v>
      </c>
      <c r="F463" s="83">
        <f t="shared" si="4"/>
        <v>2550</v>
      </c>
      <c r="G463" s="9" t="s">
        <v>11</v>
      </c>
      <c r="H463" s="29" t="s">
        <v>11</v>
      </c>
    </row>
    <row r="464" spans="1:8">
      <c r="A464" s="29" t="s">
        <v>68</v>
      </c>
      <c r="B464" s="87">
        <v>0.1176</v>
      </c>
      <c r="C464" s="30" t="s">
        <v>69</v>
      </c>
      <c r="D464" s="9">
        <v>170000</v>
      </c>
      <c r="E464" s="29" t="s">
        <v>11</v>
      </c>
      <c r="F464" s="29" t="s">
        <v>11</v>
      </c>
      <c r="G464" s="9">
        <f>B464*D464</f>
        <v>19992</v>
      </c>
      <c r="H464" s="29" t="s">
        <v>11</v>
      </c>
    </row>
    <row r="465" spans="1:8">
      <c r="A465" s="76" t="s">
        <v>70</v>
      </c>
      <c r="B465" s="85">
        <f>ROUND((SUM(E465:H465)),0)</f>
        <v>48582</v>
      </c>
      <c r="C465" s="78" t="s">
        <v>73</v>
      </c>
      <c r="D465" s="86"/>
      <c r="E465" s="80">
        <f>SUM(E458:E464)</f>
        <v>0</v>
      </c>
      <c r="F465" s="80">
        <f>SUM(F458:F464)</f>
        <v>28590</v>
      </c>
      <c r="G465" s="80">
        <f>SUM(G458:G464)</f>
        <v>19992</v>
      </c>
      <c r="H465" s="80">
        <f>SUM(H458:H464)</f>
        <v>0</v>
      </c>
    </row>
    <row r="467" spans="1:8">
      <c r="A467" s="63" t="s">
        <v>231</v>
      </c>
    </row>
    <row r="468" spans="1:8">
      <c r="A468" s="63"/>
      <c r="E468" s="68" t="s">
        <v>61</v>
      </c>
      <c r="F468" s="68" t="s">
        <v>62</v>
      </c>
      <c r="G468" s="68" t="s">
        <v>63</v>
      </c>
      <c r="H468" s="68" t="s">
        <v>64</v>
      </c>
    </row>
    <row r="469" spans="1:8">
      <c r="A469" s="29" t="s">
        <v>232</v>
      </c>
      <c r="B469" s="82">
        <v>1</v>
      </c>
      <c r="C469" s="30" t="s">
        <v>49</v>
      </c>
      <c r="D469" s="9">
        <v>1200</v>
      </c>
      <c r="E469" s="29" t="s">
        <v>11</v>
      </c>
      <c r="F469" s="83">
        <f t="shared" ref="F469:F474" si="5">B469*D469</f>
        <v>1200</v>
      </c>
      <c r="G469" s="9" t="s">
        <v>11</v>
      </c>
      <c r="H469" s="29" t="s">
        <v>11</v>
      </c>
    </row>
    <row r="470" spans="1:8">
      <c r="A470" s="29" t="s">
        <v>201</v>
      </c>
      <c r="B470" s="82">
        <v>15</v>
      </c>
      <c r="C470" s="30" t="s">
        <v>66</v>
      </c>
      <c r="D470" s="9">
        <v>680</v>
      </c>
      <c r="E470" s="29" t="s">
        <v>11</v>
      </c>
      <c r="F470" s="83">
        <f t="shared" si="5"/>
        <v>10200</v>
      </c>
      <c r="G470" s="9" t="s">
        <v>11</v>
      </c>
      <c r="H470" s="29" t="s">
        <v>11</v>
      </c>
    </row>
    <row r="471" spans="1:8">
      <c r="A471" s="29" t="s">
        <v>197</v>
      </c>
      <c r="B471" s="82">
        <v>5</v>
      </c>
      <c r="C471" s="30" t="s">
        <v>66</v>
      </c>
      <c r="D471" s="29">
        <v>700</v>
      </c>
      <c r="E471" s="29" t="s">
        <v>11</v>
      </c>
      <c r="F471" s="83">
        <f t="shared" si="5"/>
        <v>3500</v>
      </c>
      <c r="G471" s="9" t="s">
        <v>11</v>
      </c>
      <c r="H471" s="29" t="s">
        <v>11</v>
      </c>
    </row>
    <row r="472" spans="1:8">
      <c r="A472" s="29" t="s">
        <v>225</v>
      </c>
      <c r="B472" s="82">
        <v>2</v>
      </c>
      <c r="C472" s="30" t="s">
        <v>49</v>
      </c>
      <c r="D472" s="29">
        <v>190</v>
      </c>
      <c r="E472" s="29" t="s">
        <v>11</v>
      </c>
      <c r="F472" s="83">
        <f t="shared" si="5"/>
        <v>380</v>
      </c>
      <c r="G472" s="9" t="s">
        <v>11</v>
      </c>
      <c r="H472" s="29" t="s">
        <v>11</v>
      </c>
    </row>
    <row r="473" spans="1:8">
      <c r="A473" s="29" t="s">
        <v>226</v>
      </c>
      <c r="B473" s="82">
        <v>3</v>
      </c>
      <c r="C473" s="30" t="s">
        <v>49</v>
      </c>
      <c r="D473" s="29">
        <v>850</v>
      </c>
      <c r="E473" s="29" t="s">
        <v>11</v>
      </c>
      <c r="F473" s="83">
        <f t="shared" si="5"/>
        <v>2550</v>
      </c>
      <c r="G473" s="9" t="s">
        <v>11</v>
      </c>
      <c r="H473" s="29" t="s">
        <v>11</v>
      </c>
    </row>
    <row r="474" spans="1:8">
      <c r="A474" s="29" t="s">
        <v>233</v>
      </c>
      <c r="B474" s="82">
        <v>1</v>
      </c>
      <c r="C474" s="30" t="s">
        <v>49</v>
      </c>
      <c r="D474" s="9">
        <v>4000</v>
      </c>
      <c r="E474" s="29" t="s">
        <v>11</v>
      </c>
      <c r="F474" s="83">
        <f t="shared" si="5"/>
        <v>4000</v>
      </c>
      <c r="G474" s="9" t="s">
        <v>11</v>
      </c>
      <c r="H474" s="29" t="s">
        <v>11</v>
      </c>
    </row>
    <row r="475" spans="1:8">
      <c r="A475" s="29" t="s">
        <v>68</v>
      </c>
      <c r="B475" s="87">
        <v>0.12</v>
      </c>
      <c r="C475" s="30" t="s">
        <v>69</v>
      </c>
      <c r="D475" s="9">
        <v>170000</v>
      </c>
      <c r="E475" s="29" t="s">
        <v>11</v>
      </c>
      <c r="F475" s="29" t="s">
        <v>11</v>
      </c>
      <c r="G475" s="9">
        <f>B475*D475</f>
        <v>20400</v>
      </c>
      <c r="H475" s="29" t="s">
        <v>11</v>
      </c>
    </row>
    <row r="476" spans="1:8">
      <c r="A476" s="76" t="s">
        <v>70</v>
      </c>
      <c r="B476" s="85">
        <f>ROUND((SUM(E476:H476)),0)</f>
        <v>42230</v>
      </c>
      <c r="C476" s="78" t="s">
        <v>73</v>
      </c>
      <c r="D476" s="86"/>
      <c r="E476" s="80">
        <f>SUM(E469:E475)</f>
        <v>0</v>
      </c>
      <c r="F476" s="80">
        <f>SUM(F469:F475)</f>
        <v>21830</v>
      </c>
      <c r="G476" s="80">
        <f>SUM(G469:G475)</f>
        <v>20400</v>
      </c>
      <c r="H476" s="80">
        <f>SUM(H469:H475)</f>
        <v>0</v>
      </c>
    </row>
    <row r="478" spans="1:8">
      <c r="A478" s="63" t="s">
        <v>234</v>
      </c>
    </row>
    <row r="479" spans="1:8">
      <c r="A479" s="63"/>
      <c r="E479" s="68" t="s">
        <v>61</v>
      </c>
      <c r="F479" s="68" t="s">
        <v>62</v>
      </c>
      <c r="G479" s="68" t="s">
        <v>63</v>
      </c>
      <c r="H479" s="68" t="s">
        <v>64</v>
      </c>
    </row>
    <row r="480" spans="1:8">
      <c r="A480" s="29" t="s">
        <v>232</v>
      </c>
      <c r="B480" s="82">
        <v>1</v>
      </c>
      <c r="C480" s="30" t="s">
        <v>49</v>
      </c>
      <c r="D480" s="9">
        <v>1200</v>
      </c>
      <c r="E480" s="29" t="s">
        <v>11</v>
      </c>
      <c r="F480" s="83">
        <f t="shared" ref="F480:F485" si="6">B480*D480</f>
        <v>1200</v>
      </c>
      <c r="G480" s="9" t="s">
        <v>11</v>
      </c>
      <c r="H480" s="29" t="s">
        <v>11</v>
      </c>
    </row>
    <row r="481" spans="1:8">
      <c r="A481" s="29" t="s">
        <v>201</v>
      </c>
      <c r="B481" s="82">
        <v>20</v>
      </c>
      <c r="C481" s="30" t="s">
        <v>66</v>
      </c>
      <c r="D481" s="9">
        <v>680</v>
      </c>
      <c r="E481" s="29" t="s">
        <v>11</v>
      </c>
      <c r="F481" s="83">
        <f t="shared" si="6"/>
        <v>13600</v>
      </c>
      <c r="G481" s="9" t="s">
        <v>11</v>
      </c>
      <c r="H481" s="29" t="s">
        <v>11</v>
      </c>
    </row>
    <row r="482" spans="1:8">
      <c r="A482" s="29" t="s">
        <v>197</v>
      </c>
      <c r="B482" s="82">
        <v>5</v>
      </c>
      <c r="C482" s="30" t="s">
        <v>66</v>
      </c>
      <c r="D482" s="29">
        <v>700</v>
      </c>
      <c r="E482" s="29" t="s">
        <v>11</v>
      </c>
      <c r="F482" s="83">
        <f t="shared" si="6"/>
        <v>3500</v>
      </c>
      <c r="G482" s="9" t="s">
        <v>11</v>
      </c>
      <c r="H482" s="29" t="s">
        <v>11</v>
      </c>
    </row>
    <row r="483" spans="1:8">
      <c r="A483" s="29" t="s">
        <v>225</v>
      </c>
      <c r="B483" s="82">
        <v>2</v>
      </c>
      <c r="C483" s="30" t="s">
        <v>49</v>
      </c>
      <c r="D483" s="29">
        <v>190</v>
      </c>
      <c r="E483" s="29" t="s">
        <v>11</v>
      </c>
      <c r="F483" s="83">
        <f t="shared" si="6"/>
        <v>380</v>
      </c>
      <c r="G483" s="9" t="s">
        <v>11</v>
      </c>
      <c r="H483" s="29" t="s">
        <v>11</v>
      </c>
    </row>
    <row r="484" spans="1:8">
      <c r="A484" s="29" t="s">
        <v>226</v>
      </c>
      <c r="B484" s="82">
        <v>3</v>
      </c>
      <c r="C484" s="30" t="s">
        <v>49</v>
      </c>
      <c r="D484" s="29">
        <v>850</v>
      </c>
      <c r="E484" s="29" t="s">
        <v>11</v>
      </c>
      <c r="F484" s="83">
        <f t="shared" si="6"/>
        <v>2550</v>
      </c>
      <c r="G484" s="9" t="s">
        <v>11</v>
      </c>
      <c r="H484" s="29" t="s">
        <v>11</v>
      </c>
    </row>
    <row r="485" spans="1:8">
      <c r="A485" s="29" t="s">
        <v>235</v>
      </c>
      <c r="B485" s="82">
        <v>1</v>
      </c>
      <c r="C485" s="30" t="s">
        <v>49</v>
      </c>
      <c r="D485" s="9">
        <v>5700</v>
      </c>
      <c r="E485" s="29" t="s">
        <v>11</v>
      </c>
      <c r="F485" s="83">
        <f t="shared" si="6"/>
        <v>5700</v>
      </c>
      <c r="G485" s="9" t="s">
        <v>11</v>
      </c>
      <c r="H485" s="29" t="s">
        <v>11</v>
      </c>
    </row>
    <row r="486" spans="1:8">
      <c r="A486" s="29" t="s">
        <v>68</v>
      </c>
      <c r="B486" s="87">
        <v>0.12</v>
      </c>
      <c r="C486" s="30" t="s">
        <v>69</v>
      </c>
      <c r="D486" s="9">
        <v>170000</v>
      </c>
      <c r="E486" s="29" t="s">
        <v>11</v>
      </c>
      <c r="F486" s="29" t="s">
        <v>11</v>
      </c>
      <c r="G486" s="9">
        <f>B486*D486</f>
        <v>20400</v>
      </c>
      <c r="H486" s="29" t="s">
        <v>11</v>
      </c>
    </row>
    <row r="487" spans="1:8">
      <c r="A487" s="76" t="s">
        <v>70</v>
      </c>
      <c r="B487" s="85">
        <f>ROUND((SUM(E487:H487)),0)</f>
        <v>47330</v>
      </c>
      <c r="C487" s="78" t="s">
        <v>73</v>
      </c>
      <c r="D487" s="86"/>
      <c r="E487" s="80">
        <f>SUM(E480:E486)</f>
        <v>0</v>
      </c>
      <c r="F487" s="80">
        <f>SUM(F480:F486)</f>
        <v>26930</v>
      </c>
      <c r="G487" s="80">
        <f>SUM(G480:G486)</f>
        <v>20400</v>
      </c>
      <c r="H487" s="80">
        <f>SUM(H480:H486)</f>
        <v>0</v>
      </c>
    </row>
    <row r="489" spans="1:8">
      <c r="A489" s="63" t="s">
        <v>236</v>
      </c>
    </row>
    <row r="490" spans="1:8">
      <c r="A490" s="63"/>
      <c r="E490" s="68" t="s">
        <v>61</v>
      </c>
      <c r="F490" s="68" t="s">
        <v>62</v>
      </c>
      <c r="G490" s="68" t="s">
        <v>63</v>
      </c>
      <c r="H490" s="68" t="s">
        <v>64</v>
      </c>
    </row>
    <row r="491" spans="1:8">
      <c r="A491" s="29" t="s">
        <v>232</v>
      </c>
      <c r="B491" s="82">
        <v>1</v>
      </c>
      <c r="C491" s="30" t="s">
        <v>49</v>
      </c>
      <c r="D491" s="9">
        <v>1200</v>
      </c>
      <c r="E491" s="29" t="s">
        <v>11</v>
      </c>
      <c r="F491" s="83">
        <f t="shared" ref="F491:F496" si="7">B491*D491</f>
        <v>1200</v>
      </c>
      <c r="G491" s="9" t="s">
        <v>11</v>
      </c>
      <c r="H491" s="29" t="s">
        <v>11</v>
      </c>
    </row>
    <row r="492" spans="1:8">
      <c r="A492" s="29" t="s">
        <v>201</v>
      </c>
      <c r="B492" s="82">
        <v>25</v>
      </c>
      <c r="C492" s="30" t="s">
        <v>66</v>
      </c>
      <c r="D492" s="9">
        <v>680</v>
      </c>
      <c r="E492" s="29" t="s">
        <v>11</v>
      </c>
      <c r="F492" s="83">
        <f t="shared" si="7"/>
        <v>17000</v>
      </c>
      <c r="G492" s="9" t="s">
        <v>11</v>
      </c>
      <c r="H492" s="29" t="s">
        <v>11</v>
      </c>
    </row>
    <row r="493" spans="1:8">
      <c r="A493" s="29" t="s">
        <v>197</v>
      </c>
      <c r="B493" s="82">
        <v>5</v>
      </c>
      <c r="C493" s="30" t="s">
        <v>66</v>
      </c>
      <c r="D493" s="29">
        <v>700</v>
      </c>
      <c r="E493" s="29" t="s">
        <v>11</v>
      </c>
      <c r="F493" s="83">
        <f t="shared" si="7"/>
        <v>3500</v>
      </c>
      <c r="G493" s="9" t="s">
        <v>11</v>
      </c>
      <c r="H493" s="29" t="s">
        <v>11</v>
      </c>
    </row>
    <row r="494" spans="1:8">
      <c r="A494" s="29" t="s">
        <v>225</v>
      </c>
      <c r="B494" s="82">
        <v>2</v>
      </c>
      <c r="C494" s="30" t="s">
        <v>49</v>
      </c>
      <c r="D494" s="29">
        <v>190</v>
      </c>
      <c r="E494" s="29" t="s">
        <v>11</v>
      </c>
      <c r="F494" s="83">
        <f t="shared" si="7"/>
        <v>380</v>
      </c>
      <c r="G494" s="9" t="s">
        <v>11</v>
      </c>
      <c r="H494" s="29" t="s">
        <v>11</v>
      </c>
    </row>
    <row r="495" spans="1:8">
      <c r="A495" s="29" t="s">
        <v>226</v>
      </c>
      <c r="B495" s="82">
        <v>3</v>
      </c>
      <c r="C495" s="30" t="s">
        <v>49</v>
      </c>
      <c r="D495" s="29">
        <v>850</v>
      </c>
      <c r="E495" s="29" t="s">
        <v>11</v>
      </c>
      <c r="F495" s="83">
        <f t="shared" si="7"/>
        <v>2550</v>
      </c>
      <c r="G495" s="9" t="s">
        <v>11</v>
      </c>
      <c r="H495" s="29" t="s">
        <v>11</v>
      </c>
    </row>
    <row r="496" spans="1:8">
      <c r="A496" s="29" t="s">
        <v>237</v>
      </c>
      <c r="B496" s="82">
        <v>1</v>
      </c>
      <c r="C496" s="30" t="s">
        <v>49</v>
      </c>
      <c r="D496" s="9">
        <v>8100</v>
      </c>
      <c r="E496" s="29" t="s">
        <v>11</v>
      </c>
      <c r="F496" s="83">
        <f t="shared" si="7"/>
        <v>8100</v>
      </c>
      <c r="G496" s="9" t="s">
        <v>11</v>
      </c>
      <c r="H496" s="29" t="s">
        <v>11</v>
      </c>
    </row>
    <row r="497" spans="1:8">
      <c r="A497" s="29" t="s">
        <v>68</v>
      </c>
      <c r="B497" s="87">
        <v>0.12</v>
      </c>
      <c r="C497" s="30" t="s">
        <v>69</v>
      </c>
      <c r="D497" s="9">
        <v>170000</v>
      </c>
      <c r="E497" s="29" t="s">
        <v>11</v>
      </c>
      <c r="F497" s="29" t="s">
        <v>11</v>
      </c>
      <c r="G497" s="9">
        <f>B497*D497</f>
        <v>20400</v>
      </c>
      <c r="H497" s="29" t="s">
        <v>11</v>
      </c>
    </row>
    <row r="498" spans="1:8">
      <c r="A498" s="76" t="s">
        <v>70</v>
      </c>
      <c r="B498" s="85">
        <f>ROUND((SUM(E498:H498)),0)</f>
        <v>53130</v>
      </c>
      <c r="C498" s="78" t="s">
        <v>73</v>
      </c>
      <c r="D498" s="86"/>
      <c r="E498" s="80">
        <f>SUM(E491:E497)</f>
        <v>0</v>
      </c>
      <c r="F498" s="80">
        <f>SUM(F491:F497)</f>
        <v>32730</v>
      </c>
      <c r="G498" s="80">
        <f>SUM(G491:G497)</f>
        <v>20400</v>
      </c>
      <c r="H498" s="80">
        <f>SUM(H491:H497)</f>
        <v>0</v>
      </c>
    </row>
    <row r="500" spans="1:8">
      <c r="A500" s="63" t="s">
        <v>238</v>
      </c>
    </row>
    <row r="501" spans="1:8">
      <c r="A501" s="63"/>
      <c r="E501" s="68" t="s">
        <v>61</v>
      </c>
      <c r="F501" s="68" t="s">
        <v>62</v>
      </c>
      <c r="G501" s="68" t="s">
        <v>63</v>
      </c>
      <c r="H501" s="68" t="s">
        <v>64</v>
      </c>
    </row>
    <row r="502" spans="1:8">
      <c r="A502" s="29" t="s">
        <v>232</v>
      </c>
      <c r="B502" s="82">
        <v>1</v>
      </c>
      <c r="C502" s="30" t="s">
        <v>49</v>
      </c>
      <c r="D502" s="9">
        <v>1200</v>
      </c>
      <c r="E502" s="29" t="s">
        <v>11</v>
      </c>
      <c r="F502" s="83">
        <f t="shared" ref="F502:F507" si="8">B502*D502</f>
        <v>1200</v>
      </c>
      <c r="G502" s="9" t="s">
        <v>11</v>
      </c>
      <c r="H502" s="29" t="s">
        <v>11</v>
      </c>
    </row>
    <row r="503" spans="1:8">
      <c r="A503" s="29" t="s">
        <v>201</v>
      </c>
      <c r="B503" s="82">
        <v>25</v>
      </c>
      <c r="C503" s="30" t="s">
        <v>66</v>
      </c>
      <c r="D503" s="9">
        <v>680</v>
      </c>
      <c r="E503" s="29" t="s">
        <v>11</v>
      </c>
      <c r="F503" s="83">
        <f t="shared" si="8"/>
        <v>17000</v>
      </c>
      <c r="G503" s="9" t="s">
        <v>11</v>
      </c>
      <c r="H503" s="29" t="s">
        <v>11</v>
      </c>
    </row>
    <row r="504" spans="1:8">
      <c r="A504" s="29" t="s">
        <v>197</v>
      </c>
      <c r="B504" s="82">
        <v>5</v>
      </c>
      <c r="C504" s="30" t="s">
        <v>66</v>
      </c>
      <c r="D504" s="29">
        <v>700</v>
      </c>
      <c r="E504" s="29" t="s">
        <v>11</v>
      </c>
      <c r="F504" s="83">
        <f t="shared" si="8"/>
        <v>3500</v>
      </c>
      <c r="G504" s="9" t="s">
        <v>11</v>
      </c>
      <c r="H504" s="29" t="s">
        <v>11</v>
      </c>
    </row>
    <row r="505" spans="1:8">
      <c r="A505" s="29" t="s">
        <v>225</v>
      </c>
      <c r="B505" s="82">
        <v>2</v>
      </c>
      <c r="C505" s="30" t="s">
        <v>49</v>
      </c>
      <c r="D505" s="29">
        <v>190</v>
      </c>
      <c r="E505" s="29" t="s">
        <v>11</v>
      </c>
      <c r="F505" s="83">
        <f t="shared" si="8"/>
        <v>380</v>
      </c>
      <c r="G505" s="9" t="s">
        <v>11</v>
      </c>
      <c r="H505" s="29" t="s">
        <v>11</v>
      </c>
    </row>
    <row r="506" spans="1:8">
      <c r="A506" s="29" t="s">
        <v>226</v>
      </c>
      <c r="B506" s="82">
        <v>3</v>
      </c>
      <c r="C506" s="30" t="s">
        <v>49</v>
      </c>
      <c r="D506" s="29">
        <v>850</v>
      </c>
      <c r="E506" s="29" t="s">
        <v>11</v>
      </c>
      <c r="F506" s="83">
        <f t="shared" si="8"/>
        <v>2550</v>
      </c>
      <c r="G506" s="9" t="s">
        <v>11</v>
      </c>
      <c r="H506" s="29" t="s">
        <v>11</v>
      </c>
    </row>
    <row r="507" spans="1:8">
      <c r="A507" s="29" t="s">
        <v>239</v>
      </c>
      <c r="B507" s="82">
        <v>1</v>
      </c>
      <c r="C507" s="30" t="s">
        <v>49</v>
      </c>
      <c r="D507" s="9">
        <v>7300</v>
      </c>
      <c r="E507" s="29" t="s">
        <v>11</v>
      </c>
      <c r="F507" s="83">
        <f t="shared" si="8"/>
        <v>7300</v>
      </c>
      <c r="G507" s="9" t="s">
        <v>11</v>
      </c>
      <c r="H507" s="29" t="s">
        <v>11</v>
      </c>
    </row>
    <row r="508" spans="1:8">
      <c r="A508" s="29" t="s">
        <v>68</v>
      </c>
      <c r="B508" s="87">
        <v>0.12</v>
      </c>
      <c r="C508" s="30" t="s">
        <v>69</v>
      </c>
      <c r="D508" s="9">
        <v>170000</v>
      </c>
      <c r="E508" s="29" t="s">
        <v>11</v>
      </c>
      <c r="F508" s="29" t="s">
        <v>11</v>
      </c>
      <c r="G508" s="9">
        <f>B508*D508</f>
        <v>20400</v>
      </c>
      <c r="H508" s="29" t="s">
        <v>11</v>
      </c>
    </row>
    <row r="509" spans="1:8">
      <c r="A509" s="76" t="s">
        <v>70</v>
      </c>
      <c r="B509" s="85">
        <f>ROUND((SUM(E509:H509)),0)</f>
        <v>52330</v>
      </c>
      <c r="C509" s="78" t="s">
        <v>73</v>
      </c>
      <c r="D509" s="86"/>
      <c r="E509" s="80">
        <f>SUM(E502:E508)</f>
        <v>0</v>
      </c>
      <c r="F509" s="80">
        <f>SUM(F502:F508)</f>
        <v>31930</v>
      </c>
      <c r="G509" s="80">
        <f>SUM(G502:G508)</f>
        <v>20400</v>
      </c>
      <c r="H509" s="80">
        <f>SUM(H502:H508)</f>
        <v>0</v>
      </c>
    </row>
    <row r="511" spans="1:8">
      <c r="A511" s="63" t="s">
        <v>240</v>
      </c>
    </row>
    <row r="512" spans="1:8">
      <c r="A512" s="63"/>
      <c r="E512" s="68" t="s">
        <v>61</v>
      </c>
      <c r="F512" s="68" t="s">
        <v>62</v>
      </c>
      <c r="G512" s="68" t="s">
        <v>63</v>
      </c>
      <c r="H512" s="68" t="s">
        <v>64</v>
      </c>
    </row>
    <row r="513" spans="1:8">
      <c r="A513" s="29" t="s">
        <v>232</v>
      </c>
      <c r="B513" s="82">
        <v>1</v>
      </c>
      <c r="C513" s="30" t="s">
        <v>49</v>
      </c>
      <c r="D513" s="9">
        <v>1200</v>
      </c>
      <c r="E513" s="29" t="s">
        <v>11</v>
      </c>
      <c r="F513" s="83">
        <f t="shared" ref="F513:F518" si="9">B513*D513</f>
        <v>1200</v>
      </c>
      <c r="G513" s="9" t="s">
        <v>11</v>
      </c>
      <c r="H513" s="29" t="s">
        <v>11</v>
      </c>
    </row>
    <row r="514" spans="1:8">
      <c r="A514" s="29" t="s">
        <v>201</v>
      </c>
      <c r="B514" s="82">
        <v>15</v>
      </c>
      <c r="C514" s="30" t="s">
        <v>66</v>
      </c>
      <c r="D514" s="9">
        <v>680</v>
      </c>
      <c r="E514" s="29" t="s">
        <v>11</v>
      </c>
      <c r="F514" s="83">
        <f t="shared" si="9"/>
        <v>10200</v>
      </c>
      <c r="G514" s="9" t="s">
        <v>11</v>
      </c>
      <c r="H514" s="29" t="s">
        <v>11</v>
      </c>
    </row>
    <row r="515" spans="1:8">
      <c r="A515" s="29" t="s">
        <v>197</v>
      </c>
      <c r="B515" s="82">
        <v>5</v>
      </c>
      <c r="C515" s="30" t="s">
        <v>66</v>
      </c>
      <c r="D515" s="29">
        <v>700</v>
      </c>
      <c r="E515" s="29" t="s">
        <v>11</v>
      </c>
      <c r="F515" s="83">
        <f t="shared" si="9"/>
        <v>3500</v>
      </c>
      <c r="G515" s="9" t="s">
        <v>11</v>
      </c>
      <c r="H515" s="29" t="s">
        <v>11</v>
      </c>
    </row>
    <row r="516" spans="1:8">
      <c r="A516" s="29" t="s">
        <v>225</v>
      </c>
      <c r="B516" s="82">
        <v>2</v>
      </c>
      <c r="C516" s="30" t="s">
        <v>49</v>
      </c>
      <c r="D516" s="29">
        <v>190</v>
      </c>
      <c r="E516" s="29" t="s">
        <v>11</v>
      </c>
      <c r="F516" s="83">
        <f t="shared" si="9"/>
        <v>380</v>
      </c>
      <c r="G516" s="9" t="s">
        <v>11</v>
      </c>
      <c r="H516" s="29" t="s">
        <v>11</v>
      </c>
    </row>
    <row r="517" spans="1:8">
      <c r="A517" s="29" t="s">
        <v>226</v>
      </c>
      <c r="B517" s="82">
        <v>3</v>
      </c>
      <c r="C517" s="30" t="s">
        <v>49</v>
      </c>
      <c r="D517" s="29">
        <v>850</v>
      </c>
      <c r="E517" s="29" t="s">
        <v>11</v>
      </c>
      <c r="F517" s="83">
        <f t="shared" si="9"/>
        <v>2550</v>
      </c>
      <c r="G517" s="9" t="s">
        <v>11</v>
      </c>
      <c r="H517" s="29" t="s">
        <v>11</v>
      </c>
    </row>
    <row r="518" spans="1:8">
      <c r="A518" s="29" t="s">
        <v>241</v>
      </c>
      <c r="B518" s="82">
        <v>1</v>
      </c>
      <c r="C518" s="30" t="s">
        <v>49</v>
      </c>
      <c r="D518" s="9">
        <v>4500</v>
      </c>
      <c r="E518" s="29" t="s">
        <v>11</v>
      </c>
      <c r="F518" s="83">
        <f t="shared" si="9"/>
        <v>4500</v>
      </c>
      <c r="G518" s="9" t="s">
        <v>11</v>
      </c>
      <c r="H518" s="29" t="s">
        <v>11</v>
      </c>
    </row>
    <row r="519" spans="1:8">
      <c r="A519" s="29" t="s">
        <v>68</v>
      </c>
      <c r="B519" s="87">
        <v>0.10589999999999999</v>
      </c>
      <c r="C519" s="30" t="s">
        <v>69</v>
      </c>
      <c r="D519" s="9">
        <v>170000</v>
      </c>
      <c r="E519" s="29" t="s">
        <v>11</v>
      </c>
      <c r="F519" s="29" t="s">
        <v>11</v>
      </c>
      <c r="G519" s="9">
        <f>B519*D519</f>
        <v>18003</v>
      </c>
      <c r="H519" s="29" t="s">
        <v>11</v>
      </c>
    </row>
    <row r="520" spans="1:8">
      <c r="A520" s="76" t="s">
        <v>70</v>
      </c>
      <c r="B520" s="85">
        <f>ROUND((SUM(E520:H520)),0)</f>
        <v>40333</v>
      </c>
      <c r="C520" s="78" t="s">
        <v>73</v>
      </c>
      <c r="D520" s="86"/>
      <c r="E520" s="80">
        <f>SUM(E513:E519)</f>
        <v>0</v>
      </c>
      <c r="F520" s="80">
        <f>SUM(F513:F519)</f>
        <v>22330</v>
      </c>
      <c r="G520" s="80">
        <f>SUM(G513:G519)</f>
        <v>18003</v>
      </c>
      <c r="H520" s="80">
        <f>SUM(H513:H519)</f>
        <v>0</v>
      </c>
    </row>
    <row r="522" spans="1:8">
      <c r="A522" s="63" t="s">
        <v>242</v>
      </c>
    </row>
    <row r="523" spans="1:8">
      <c r="A523" s="63"/>
      <c r="E523" s="68" t="s">
        <v>61</v>
      </c>
      <c r="F523" s="68" t="s">
        <v>62</v>
      </c>
      <c r="G523" s="68" t="s">
        <v>63</v>
      </c>
      <c r="H523" s="68" t="s">
        <v>64</v>
      </c>
    </row>
    <row r="524" spans="1:8">
      <c r="A524" s="29" t="s">
        <v>232</v>
      </c>
      <c r="B524" s="82">
        <v>1</v>
      </c>
      <c r="C524" s="30" t="s">
        <v>49</v>
      </c>
      <c r="D524" s="9">
        <v>1200</v>
      </c>
      <c r="E524" s="29" t="s">
        <v>11</v>
      </c>
      <c r="F524" s="83">
        <f t="shared" ref="F524:F529" si="10">B524*D524</f>
        <v>1200</v>
      </c>
      <c r="G524" s="9" t="s">
        <v>11</v>
      </c>
      <c r="H524" s="29" t="s">
        <v>11</v>
      </c>
    </row>
    <row r="525" spans="1:8">
      <c r="A525" s="29" t="s">
        <v>201</v>
      </c>
      <c r="B525" s="82">
        <v>15</v>
      </c>
      <c r="C525" s="30" t="s">
        <v>66</v>
      </c>
      <c r="D525" s="9">
        <v>680</v>
      </c>
      <c r="E525" s="29" t="s">
        <v>11</v>
      </c>
      <c r="F525" s="83">
        <f t="shared" si="10"/>
        <v>10200</v>
      </c>
      <c r="G525" s="9" t="s">
        <v>11</v>
      </c>
      <c r="H525" s="29" t="s">
        <v>11</v>
      </c>
    </row>
    <row r="526" spans="1:8">
      <c r="A526" s="29" t="s">
        <v>197</v>
      </c>
      <c r="B526" s="82">
        <v>5</v>
      </c>
      <c r="C526" s="30" t="s">
        <v>66</v>
      </c>
      <c r="D526" s="29">
        <v>700</v>
      </c>
      <c r="E526" s="29" t="s">
        <v>11</v>
      </c>
      <c r="F526" s="83">
        <f t="shared" si="10"/>
        <v>3500</v>
      </c>
      <c r="G526" s="9" t="s">
        <v>11</v>
      </c>
      <c r="H526" s="29" t="s">
        <v>11</v>
      </c>
    </row>
    <row r="527" spans="1:8">
      <c r="A527" s="29" t="s">
        <v>225</v>
      </c>
      <c r="B527" s="82">
        <v>2</v>
      </c>
      <c r="C527" s="30" t="s">
        <v>49</v>
      </c>
      <c r="D527" s="29">
        <v>190</v>
      </c>
      <c r="E527" s="29" t="s">
        <v>11</v>
      </c>
      <c r="F527" s="83">
        <f t="shared" si="10"/>
        <v>380</v>
      </c>
      <c r="G527" s="9" t="s">
        <v>11</v>
      </c>
      <c r="H527" s="29" t="s">
        <v>11</v>
      </c>
    </row>
    <row r="528" spans="1:8">
      <c r="A528" s="29" t="s">
        <v>226</v>
      </c>
      <c r="B528" s="82">
        <v>3</v>
      </c>
      <c r="C528" s="30" t="s">
        <v>49</v>
      </c>
      <c r="D528" s="29">
        <v>850</v>
      </c>
      <c r="E528" s="29" t="s">
        <v>11</v>
      </c>
      <c r="F528" s="83">
        <f t="shared" si="10"/>
        <v>2550</v>
      </c>
      <c r="G528" s="9" t="s">
        <v>11</v>
      </c>
      <c r="H528" s="29" t="s">
        <v>11</v>
      </c>
    </row>
    <row r="529" spans="1:8">
      <c r="A529" s="29" t="s">
        <v>243</v>
      </c>
      <c r="B529" s="82">
        <v>1</v>
      </c>
      <c r="C529" s="30" t="s">
        <v>49</v>
      </c>
      <c r="D529" s="9">
        <v>25000</v>
      </c>
      <c r="E529" s="29" t="s">
        <v>11</v>
      </c>
      <c r="F529" s="83">
        <f t="shared" si="10"/>
        <v>25000</v>
      </c>
      <c r="G529" s="9" t="s">
        <v>11</v>
      </c>
      <c r="H529" s="29" t="s">
        <v>11</v>
      </c>
    </row>
    <row r="530" spans="1:8">
      <c r="A530" s="29" t="s">
        <v>68</v>
      </c>
      <c r="B530" s="87">
        <v>0.10589999999999999</v>
      </c>
      <c r="C530" s="30" t="s">
        <v>69</v>
      </c>
      <c r="D530" s="9">
        <v>170000</v>
      </c>
      <c r="E530" s="29" t="s">
        <v>11</v>
      </c>
      <c r="F530" s="29" t="s">
        <v>11</v>
      </c>
      <c r="G530" s="9">
        <f>B530*D530</f>
        <v>18003</v>
      </c>
      <c r="H530" s="29" t="s">
        <v>11</v>
      </c>
    </row>
    <row r="531" spans="1:8">
      <c r="A531" s="76" t="s">
        <v>70</v>
      </c>
      <c r="B531" s="85">
        <f>ROUND((SUM(E531:H531)),0)</f>
        <v>60833</v>
      </c>
      <c r="C531" s="78" t="s">
        <v>73</v>
      </c>
      <c r="D531" s="86"/>
      <c r="E531" s="80">
        <f>SUM(E524:E530)</f>
        <v>0</v>
      </c>
      <c r="F531" s="80">
        <f>SUM(F524:F530)</f>
        <v>42830</v>
      </c>
      <c r="G531" s="80">
        <f>SUM(G524:G530)</f>
        <v>18003</v>
      </c>
      <c r="H531" s="80">
        <f>SUM(H524:H530)</f>
        <v>0</v>
      </c>
    </row>
    <row r="533" spans="1:8">
      <c r="A533" s="63" t="s">
        <v>244</v>
      </c>
    </row>
    <row r="534" spans="1:8">
      <c r="A534" s="63"/>
      <c r="E534" s="68" t="s">
        <v>61</v>
      </c>
      <c r="F534" s="68" t="s">
        <v>62</v>
      </c>
      <c r="G534" s="68" t="s">
        <v>63</v>
      </c>
      <c r="H534" s="68" t="s">
        <v>64</v>
      </c>
    </row>
    <row r="535" spans="1:8">
      <c r="A535" s="29" t="s">
        <v>232</v>
      </c>
      <c r="B535" s="82">
        <v>1</v>
      </c>
      <c r="C535" s="30" t="s">
        <v>49</v>
      </c>
      <c r="D535" s="9">
        <v>1200</v>
      </c>
      <c r="E535" s="29" t="s">
        <v>11</v>
      </c>
      <c r="F535" s="83">
        <f t="shared" ref="F535:F540" si="11">B535*D535</f>
        <v>1200</v>
      </c>
      <c r="G535" s="9" t="s">
        <v>11</v>
      </c>
      <c r="H535" s="29" t="s">
        <v>11</v>
      </c>
    </row>
    <row r="536" spans="1:8">
      <c r="A536" s="29" t="s">
        <v>201</v>
      </c>
      <c r="B536" s="82">
        <v>15</v>
      </c>
      <c r="C536" s="30" t="s">
        <v>66</v>
      </c>
      <c r="D536" s="9">
        <v>680</v>
      </c>
      <c r="E536" s="29" t="s">
        <v>11</v>
      </c>
      <c r="F536" s="83">
        <f t="shared" si="11"/>
        <v>10200</v>
      </c>
      <c r="G536" s="9" t="s">
        <v>11</v>
      </c>
      <c r="H536" s="29" t="s">
        <v>11</v>
      </c>
    </row>
    <row r="537" spans="1:8">
      <c r="A537" s="29" t="s">
        <v>197</v>
      </c>
      <c r="B537" s="82">
        <v>5</v>
      </c>
      <c r="C537" s="30" t="s">
        <v>66</v>
      </c>
      <c r="D537" s="29">
        <v>700</v>
      </c>
      <c r="E537" s="29" t="s">
        <v>11</v>
      </c>
      <c r="F537" s="83">
        <f t="shared" si="11"/>
        <v>3500</v>
      </c>
      <c r="G537" s="9" t="s">
        <v>11</v>
      </c>
      <c r="H537" s="29" t="s">
        <v>11</v>
      </c>
    </row>
    <row r="538" spans="1:8">
      <c r="A538" s="29" t="s">
        <v>225</v>
      </c>
      <c r="B538" s="82">
        <v>2</v>
      </c>
      <c r="C538" s="30" t="s">
        <v>49</v>
      </c>
      <c r="D538" s="29">
        <v>190</v>
      </c>
      <c r="E538" s="29" t="s">
        <v>11</v>
      </c>
      <c r="F538" s="83">
        <f t="shared" si="11"/>
        <v>380</v>
      </c>
      <c r="G538" s="9" t="s">
        <v>11</v>
      </c>
      <c r="H538" s="29" t="s">
        <v>11</v>
      </c>
    </row>
    <row r="539" spans="1:8">
      <c r="A539" s="29" t="s">
        <v>226</v>
      </c>
      <c r="B539" s="82">
        <v>3</v>
      </c>
      <c r="C539" s="30" t="s">
        <v>49</v>
      </c>
      <c r="D539" s="29">
        <v>850</v>
      </c>
      <c r="E539" s="29" t="s">
        <v>11</v>
      </c>
      <c r="F539" s="83">
        <f t="shared" si="11"/>
        <v>2550</v>
      </c>
      <c r="G539" s="9" t="s">
        <v>11</v>
      </c>
      <c r="H539" s="29" t="s">
        <v>11</v>
      </c>
    </row>
    <row r="540" spans="1:8">
      <c r="A540" s="29" t="s">
        <v>245</v>
      </c>
      <c r="B540" s="82">
        <v>1</v>
      </c>
      <c r="C540" s="30" t="s">
        <v>49</v>
      </c>
      <c r="D540" s="9">
        <v>197000</v>
      </c>
      <c r="E540" s="29" t="s">
        <v>11</v>
      </c>
      <c r="F540" s="83">
        <f t="shared" si="11"/>
        <v>197000</v>
      </c>
      <c r="G540" s="9" t="s">
        <v>11</v>
      </c>
      <c r="H540" s="29" t="s">
        <v>11</v>
      </c>
    </row>
    <row r="541" spans="1:8">
      <c r="A541" s="29" t="s">
        <v>68</v>
      </c>
      <c r="B541" s="87">
        <v>0.14710000000000001</v>
      </c>
      <c r="C541" s="30" t="s">
        <v>69</v>
      </c>
      <c r="D541" s="9">
        <v>170000</v>
      </c>
      <c r="E541" s="29" t="s">
        <v>11</v>
      </c>
      <c r="F541" s="29" t="s">
        <v>11</v>
      </c>
      <c r="G541" s="9">
        <f>B541*D541</f>
        <v>25007</v>
      </c>
      <c r="H541" s="29" t="s">
        <v>11</v>
      </c>
    </row>
    <row r="542" spans="1:8">
      <c r="A542" s="76" t="s">
        <v>70</v>
      </c>
      <c r="B542" s="85">
        <f>ROUND((SUM(E542:H542)),0)</f>
        <v>239837</v>
      </c>
      <c r="C542" s="78" t="s">
        <v>73</v>
      </c>
      <c r="D542" s="86"/>
      <c r="E542" s="80">
        <f>SUM(E535:E541)</f>
        <v>0</v>
      </c>
      <c r="F542" s="80">
        <f>SUM(F535:F541)</f>
        <v>214830</v>
      </c>
      <c r="G542" s="80">
        <f>SUM(G535:G541)</f>
        <v>25007</v>
      </c>
      <c r="H542" s="80">
        <f>SUM(H535:H541)</f>
        <v>0</v>
      </c>
    </row>
    <row r="544" spans="1:8">
      <c r="A544" s="63" t="s">
        <v>246</v>
      </c>
    </row>
    <row r="545" spans="1:8">
      <c r="A545" s="63"/>
      <c r="E545" s="68" t="s">
        <v>61</v>
      </c>
      <c r="F545" s="68" t="s">
        <v>62</v>
      </c>
      <c r="G545" s="68" t="s">
        <v>63</v>
      </c>
      <c r="H545" s="68" t="s">
        <v>64</v>
      </c>
    </row>
    <row r="546" spans="1:8">
      <c r="A546" s="29" t="s">
        <v>232</v>
      </c>
      <c r="B546" s="82">
        <v>1</v>
      </c>
      <c r="C546" s="30" t="s">
        <v>49</v>
      </c>
      <c r="D546" s="9">
        <v>1200</v>
      </c>
      <c r="E546" s="29" t="s">
        <v>11</v>
      </c>
      <c r="F546" s="83">
        <f t="shared" ref="F546:F551" si="12">B546*D546</f>
        <v>1200</v>
      </c>
      <c r="G546" s="9" t="s">
        <v>11</v>
      </c>
      <c r="H546" s="29" t="s">
        <v>11</v>
      </c>
    </row>
    <row r="547" spans="1:8">
      <c r="A547" s="29" t="s">
        <v>247</v>
      </c>
      <c r="B547" s="82">
        <v>15</v>
      </c>
      <c r="C547" s="30" t="s">
        <v>66</v>
      </c>
      <c r="D547" s="9">
        <v>838</v>
      </c>
      <c r="E547" s="29" t="s">
        <v>11</v>
      </c>
      <c r="F547" s="83">
        <f t="shared" si="12"/>
        <v>12570</v>
      </c>
      <c r="G547" s="9" t="s">
        <v>11</v>
      </c>
      <c r="H547" s="29" t="s">
        <v>11</v>
      </c>
    </row>
    <row r="548" spans="1:8">
      <c r="A548" s="29" t="s">
        <v>197</v>
      </c>
      <c r="B548" s="82">
        <v>5</v>
      </c>
      <c r="C548" s="30" t="s">
        <v>66</v>
      </c>
      <c r="D548" s="29">
        <v>700</v>
      </c>
      <c r="E548" s="29" t="s">
        <v>11</v>
      </c>
      <c r="F548" s="83">
        <f t="shared" si="12"/>
        <v>3500</v>
      </c>
      <c r="G548" s="9" t="s">
        <v>11</v>
      </c>
      <c r="H548" s="29" t="s">
        <v>11</v>
      </c>
    </row>
    <row r="549" spans="1:8">
      <c r="A549" s="29" t="s">
        <v>225</v>
      </c>
      <c r="B549" s="82">
        <v>2</v>
      </c>
      <c r="C549" s="30" t="s">
        <v>49</v>
      </c>
      <c r="D549" s="29">
        <v>190</v>
      </c>
      <c r="E549" s="29" t="s">
        <v>11</v>
      </c>
      <c r="F549" s="83">
        <f t="shared" si="12"/>
        <v>380</v>
      </c>
      <c r="G549" s="9" t="s">
        <v>11</v>
      </c>
      <c r="H549" s="29" t="s">
        <v>11</v>
      </c>
    </row>
    <row r="550" spans="1:8">
      <c r="A550" s="29" t="s">
        <v>248</v>
      </c>
      <c r="B550" s="82">
        <v>1</v>
      </c>
      <c r="C550" s="30" t="s">
        <v>49</v>
      </c>
      <c r="D550" s="9">
        <v>5500</v>
      </c>
      <c r="E550" s="29" t="s">
        <v>11</v>
      </c>
      <c r="F550" s="83">
        <f t="shared" si="12"/>
        <v>5500</v>
      </c>
      <c r="G550" s="9" t="s">
        <v>11</v>
      </c>
      <c r="H550" s="29" t="s">
        <v>11</v>
      </c>
    </row>
    <row r="551" spans="1:8">
      <c r="A551" s="29" t="s">
        <v>226</v>
      </c>
      <c r="B551" s="82">
        <v>3</v>
      </c>
      <c r="C551" s="30" t="s">
        <v>49</v>
      </c>
      <c r="D551" s="29">
        <v>850</v>
      </c>
      <c r="E551" s="29" t="s">
        <v>11</v>
      </c>
      <c r="F551" s="83">
        <f t="shared" si="12"/>
        <v>2550</v>
      </c>
      <c r="G551" s="9" t="s">
        <v>11</v>
      </c>
      <c r="H551" s="29" t="s">
        <v>11</v>
      </c>
    </row>
    <row r="552" spans="1:8">
      <c r="A552" s="29" t="s">
        <v>68</v>
      </c>
      <c r="B552" s="87">
        <v>0.12</v>
      </c>
      <c r="C552" s="30" t="s">
        <v>69</v>
      </c>
      <c r="D552" s="9">
        <v>170000</v>
      </c>
      <c r="E552" s="29" t="s">
        <v>11</v>
      </c>
      <c r="F552" s="29" t="s">
        <v>11</v>
      </c>
      <c r="G552" s="9">
        <f>B552*D552</f>
        <v>20400</v>
      </c>
      <c r="H552" s="29" t="s">
        <v>11</v>
      </c>
    </row>
    <row r="553" spans="1:8">
      <c r="A553" s="76" t="s">
        <v>70</v>
      </c>
      <c r="B553" s="85">
        <f>ROUND((SUM(E553:H553)),0)</f>
        <v>46100</v>
      </c>
      <c r="C553" s="78" t="s">
        <v>73</v>
      </c>
      <c r="D553" s="86"/>
      <c r="E553" s="80">
        <f>SUM(E546:E552)</f>
        <v>0</v>
      </c>
      <c r="F553" s="80">
        <f>SUM(F546:F552)</f>
        <v>25700</v>
      </c>
      <c r="G553" s="80">
        <f>SUM(G546:G552)</f>
        <v>20400</v>
      </c>
      <c r="H553" s="80">
        <f>SUM(H546:H552)</f>
        <v>0</v>
      </c>
    </row>
    <row r="555" spans="1:8">
      <c r="A555" s="63" t="s">
        <v>249</v>
      </c>
    </row>
    <row r="556" spans="1:8">
      <c r="A556" s="63"/>
      <c r="E556" s="68" t="s">
        <v>61</v>
      </c>
      <c r="F556" s="68" t="s">
        <v>62</v>
      </c>
      <c r="G556" s="68" t="s">
        <v>63</v>
      </c>
      <c r="H556" s="68" t="s">
        <v>64</v>
      </c>
    </row>
    <row r="557" spans="1:8">
      <c r="A557" s="29" t="s">
        <v>232</v>
      </c>
      <c r="B557" s="82">
        <v>1</v>
      </c>
      <c r="C557" s="30" t="s">
        <v>49</v>
      </c>
      <c r="D557" s="9">
        <v>1200</v>
      </c>
      <c r="E557" s="29" t="s">
        <v>11</v>
      </c>
      <c r="F557" s="83">
        <f t="shared" ref="F557:F562" si="13">B557*D557</f>
        <v>1200</v>
      </c>
      <c r="G557" s="9" t="s">
        <v>11</v>
      </c>
      <c r="H557" s="29" t="s">
        <v>11</v>
      </c>
    </row>
    <row r="558" spans="1:8">
      <c r="A558" s="29" t="s">
        <v>247</v>
      </c>
      <c r="B558" s="82">
        <v>15</v>
      </c>
      <c r="C558" s="30" t="s">
        <v>66</v>
      </c>
      <c r="D558" s="9">
        <v>838</v>
      </c>
      <c r="E558" s="29" t="s">
        <v>11</v>
      </c>
      <c r="F558" s="83">
        <f t="shared" si="13"/>
        <v>12570</v>
      </c>
      <c r="G558" s="9" t="s">
        <v>11</v>
      </c>
      <c r="H558" s="29" t="s">
        <v>11</v>
      </c>
    </row>
    <row r="559" spans="1:8">
      <c r="A559" s="29" t="s">
        <v>197</v>
      </c>
      <c r="B559" s="82">
        <v>5</v>
      </c>
      <c r="C559" s="30" t="s">
        <v>66</v>
      </c>
      <c r="D559" s="29">
        <v>700</v>
      </c>
      <c r="E559" s="29" t="s">
        <v>11</v>
      </c>
      <c r="F559" s="83">
        <f t="shared" si="13"/>
        <v>3500</v>
      </c>
      <c r="G559" s="9" t="s">
        <v>11</v>
      </c>
      <c r="H559" s="29" t="s">
        <v>11</v>
      </c>
    </row>
    <row r="560" spans="1:8">
      <c r="A560" s="29" t="s">
        <v>225</v>
      </c>
      <c r="B560" s="82">
        <v>2</v>
      </c>
      <c r="C560" s="30" t="s">
        <v>49</v>
      </c>
      <c r="D560" s="29">
        <v>190</v>
      </c>
      <c r="E560" s="29" t="s">
        <v>11</v>
      </c>
      <c r="F560" s="83">
        <f t="shared" si="13"/>
        <v>380</v>
      </c>
      <c r="G560" s="9" t="s">
        <v>11</v>
      </c>
      <c r="H560" s="29" t="s">
        <v>11</v>
      </c>
    </row>
    <row r="561" spans="1:8">
      <c r="A561" s="29" t="s">
        <v>250</v>
      </c>
      <c r="B561" s="82">
        <v>1</v>
      </c>
      <c r="C561" s="30" t="s">
        <v>49</v>
      </c>
      <c r="D561" s="9">
        <v>32000</v>
      </c>
      <c r="E561" s="29" t="s">
        <v>11</v>
      </c>
      <c r="F561" s="83">
        <f t="shared" si="13"/>
        <v>32000</v>
      </c>
      <c r="G561" s="9" t="s">
        <v>11</v>
      </c>
      <c r="H561" s="29" t="s">
        <v>11</v>
      </c>
    </row>
    <row r="562" spans="1:8">
      <c r="A562" s="29" t="s">
        <v>226</v>
      </c>
      <c r="B562" s="82">
        <v>3</v>
      </c>
      <c r="C562" s="30" t="s">
        <v>49</v>
      </c>
      <c r="D562" s="29">
        <v>850</v>
      </c>
      <c r="E562" s="29" t="s">
        <v>11</v>
      </c>
      <c r="F562" s="83">
        <f t="shared" si="13"/>
        <v>2550</v>
      </c>
      <c r="G562" s="9" t="s">
        <v>11</v>
      </c>
      <c r="H562" s="29" t="s">
        <v>11</v>
      </c>
    </row>
    <row r="563" spans="1:8">
      <c r="A563" s="29" t="s">
        <v>68</v>
      </c>
      <c r="B563" s="87">
        <v>0.12</v>
      </c>
      <c r="C563" s="30" t="s">
        <v>69</v>
      </c>
      <c r="D563" s="9">
        <v>170000</v>
      </c>
      <c r="E563" s="29" t="s">
        <v>11</v>
      </c>
      <c r="F563" s="29" t="s">
        <v>11</v>
      </c>
      <c r="G563" s="9">
        <f>B563*D563</f>
        <v>20400</v>
      </c>
      <c r="H563" s="29" t="s">
        <v>11</v>
      </c>
    </row>
    <row r="564" spans="1:8">
      <c r="A564" s="76" t="s">
        <v>70</v>
      </c>
      <c r="B564" s="85">
        <f>ROUND((SUM(E564:H564)),0)</f>
        <v>72600</v>
      </c>
      <c r="C564" s="78" t="s">
        <v>73</v>
      </c>
      <c r="D564" s="86"/>
      <c r="E564" s="80">
        <f>SUM(E557:E563)</f>
        <v>0</v>
      </c>
      <c r="F564" s="80">
        <f>SUM(F557:F563)</f>
        <v>52200</v>
      </c>
      <c r="G564" s="80">
        <f>SUM(G557:G563)</f>
        <v>20400</v>
      </c>
      <c r="H564" s="80">
        <f>SUM(H557:H563)</f>
        <v>0</v>
      </c>
    </row>
    <row r="566" spans="1:8">
      <c r="A566" s="63" t="s">
        <v>251</v>
      </c>
    </row>
    <row r="567" spans="1:8">
      <c r="A567" s="63"/>
      <c r="E567" s="68" t="s">
        <v>61</v>
      </c>
      <c r="F567" s="68" t="s">
        <v>62</v>
      </c>
      <c r="G567" s="68" t="s">
        <v>63</v>
      </c>
      <c r="H567" s="68" t="s">
        <v>64</v>
      </c>
    </row>
    <row r="568" spans="1:8">
      <c r="A568" s="29" t="s">
        <v>232</v>
      </c>
      <c r="B568" s="82">
        <v>1</v>
      </c>
      <c r="C568" s="30" t="s">
        <v>49</v>
      </c>
      <c r="D568" s="9">
        <v>1200</v>
      </c>
      <c r="E568" s="29" t="s">
        <v>11</v>
      </c>
      <c r="F568" s="83">
        <f t="shared" ref="F568:F574" si="14">B568*D568</f>
        <v>1200</v>
      </c>
      <c r="G568" s="9" t="s">
        <v>11</v>
      </c>
      <c r="H568" s="29" t="s">
        <v>11</v>
      </c>
    </row>
    <row r="569" spans="1:8">
      <c r="A569" s="29" t="s">
        <v>247</v>
      </c>
      <c r="B569" s="82">
        <v>18</v>
      </c>
      <c r="C569" s="30" t="s">
        <v>66</v>
      </c>
      <c r="D569" s="9">
        <v>838</v>
      </c>
      <c r="E569" s="29" t="s">
        <v>11</v>
      </c>
      <c r="F569" s="83">
        <f t="shared" si="14"/>
        <v>15084</v>
      </c>
      <c r="G569" s="9" t="s">
        <v>11</v>
      </c>
      <c r="H569" s="29" t="s">
        <v>11</v>
      </c>
    </row>
    <row r="570" spans="1:8">
      <c r="A570" s="29" t="s">
        <v>228</v>
      </c>
      <c r="B570" s="82">
        <v>6</v>
      </c>
      <c r="C570" s="30" t="s">
        <v>66</v>
      </c>
      <c r="D570" s="29">
        <v>1900</v>
      </c>
      <c r="E570" s="29" t="s">
        <v>11</v>
      </c>
      <c r="F570" s="83">
        <f>B570*D570</f>
        <v>11400</v>
      </c>
      <c r="G570" s="9" t="s">
        <v>11</v>
      </c>
      <c r="H570" s="29" t="s">
        <v>11</v>
      </c>
    </row>
    <row r="571" spans="1:8">
      <c r="A571" s="29" t="s">
        <v>229</v>
      </c>
      <c r="B571" s="82">
        <v>1</v>
      </c>
      <c r="C571" s="30" t="s">
        <v>8</v>
      </c>
      <c r="D571" s="29">
        <v>400</v>
      </c>
      <c r="E571" s="29"/>
      <c r="F571" s="83">
        <f>B571*D571</f>
        <v>400</v>
      </c>
      <c r="G571" s="9"/>
      <c r="H571" s="29"/>
    </row>
    <row r="572" spans="1:8">
      <c r="A572" s="29" t="s">
        <v>230</v>
      </c>
      <c r="B572" s="82">
        <v>2</v>
      </c>
      <c r="C572" s="30" t="s">
        <v>49</v>
      </c>
      <c r="D572" s="29">
        <v>400</v>
      </c>
      <c r="E572" s="29" t="s">
        <v>11</v>
      </c>
      <c r="F572" s="83">
        <f>B572*D572</f>
        <v>800</v>
      </c>
      <c r="G572" s="9" t="s">
        <v>11</v>
      </c>
      <c r="H572" s="29" t="s">
        <v>11</v>
      </c>
    </row>
    <row r="573" spans="1:8">
      <c r="A573" s="29" t="s">
        <v>250</v>
      </c>
      <c r="B573" s="82">
        <v>1</v>
      </c>
      <c r="C573" s="30" t="s">
        <v>49</v>
      </c>
      <c r="D573" s="9">
        <v>32000</v>
      </c>
      <c r="E573" s="29" t="s">
        <v>11</v>
      </c>
      <c r="F573" s="83">
        <f t="shared" si="14"/>
        <v>32000</v>
      </c>
      <c r="G573" s="9" t="s">
        <v>11</v>
      </c>
      <c r="H573" s="29" t="s">
        <v>11</v>
      </c>
    </row>
    <row r="574" spans="1:8">
      <c r="A574" s="29" t="s">
        <v>226</v>
      </c>
      <c r="B574" s="82">
        <v>3</v>
      </c>
      <c r="C574" s="30" t="s">
        <v>49</v>
      </c>
      <c r="D574" s="29">
        <v>850</v>
      </c>
      <c r="E574" s="29" t="s">
        <v>11</v>
      </c>
      <c r="F574" s="83">
        <f t="shared" si="14"/>
        <v>2550</v>
      </c>
      <c r="G574" s="9" t="s">
        <v>11</v>
      </c>
      <c r="H574" s="29" t="s">
        <v>11</v>
      </c>
    </row>
    <row r="575" spans="1:8">
      <c r="A575" s="29" t="s">
        <v>68</v>
      </c>
      <c r="B575" s="87">
        <v>0.1176</v>
      </c>
      <c r="C575" s="30" t="s">
        <v>69</v>
      </c>
      <c r="D575" s="9">
        <v>170000</v>
      </c>
      <c r="E575" s="29" t="s">
        <v>11</v>
      </c>
      <c r="F575" s="29" t="s">
        <v>11</v>
      </c>
      <c r="G575" s="9">
        <f>B575*D575</f>
        <v>19992</v>
      </c>
      <c r="H575" s="29" t="s">
        <v>11</v>
      </c>
    </row>
    <row r="576" spans="1:8">
      <c r="A576" s="76" t="s">
        <v>70</v>
      </c>
      <c r="B576" s="85">
        <f>ROUND((SUM(E576:H576)),0)</f>
        <v>83426</v>
      </c>
      <c r="C576" s="78" t="s">
        <v>73</v>
      </c>
      <c r="D576" s="86"/>
      <c r="E576" s="80">
        <f>SUM(E568:E575)</f>
        <v>0</v>
      </c>
      <c r="F576" s="80">
        <f>SUM(F568:F575)</f>
        <v>63434</v>
      </c>
      <c r="G576" s="80">
        <f>SUM(G568:G575)</f>
        <v>19992</v>
      </c>
      <c r="H576" s="80">
        <f>SUM(H568:H575)</f>
        <v>0</v>
      </c>
    </row>
    <row r="578" spans="1:8">
      <c r="A578" s="63" t="s">
        <v>252</v>
      </c>
    </row>
    <row r="579" spans="1:8">
      <c r="A579" s="63"/>
      <c r="E579" s="68" t="s">
        <v>61</v>
      </c>
      <c r="F579" s="68" t="s">
        <v>62</v>
      </c>
      <c r="G579" s="68" t="s">
        <v>63</v>
      </c>
      <c r="H579" s="68" t="s">
        <v>64</v>
      </c>
    </row>
    <row r="580" spans="1:8">
      <c r="A580" s="29" t="s">
        <v>253</v>
      </c>
      <c r="B580" s="82">
        <v>1</v>
      </c>
      <c r="C580" s="30" t="s">
        <v>49</v>
      </c>
      <c r="D580" s="9">
        <v>1500</v>
      </c>
      <c r="E580" s="29" t="s">
        <v>11</v>
      </c>
      <c r="F580" s="83">
        <f>B580*D580</f>
        <v>1500</v>
      </c>
      <c r="G580" s="9" t="s">
        <v>11</v>
      </c>
      <c r="H580" s="29" t="s">
        <v>11</v>
      </c>
    </row>
    <row r="581" spans="1:8">
      <c r="A581" s="29" t="s">
        <v>194</v>
      </c>
      <c r="B581" s="82">
        <v>6</v>
      </c>
      <c r="C581" s="30" t="s">
        <v>66</v>
      </c>
      <c r="D581" s="29">
        <v>800</v>
      </c>
      <c r="E581" s="29" t="s">
        <v>11</v>
      </c>
      <c r="F581" s="83">
        <f>B581*D581</f>
        <v>4800</v>
      </c>
      <c r="G581" s="9" t="s">
        <v>11</v>
      </c>
      <c r="H581" s="29" t="s">
        <v>11</v>
      </c>
    </row>
    <row r="582" spans="1:8">
      <c r="A582" s="29" t="s">
        <v>254</v>
      </c>
      <c r="B582" s="82">
        <v>2</v>
      </c>
      <c r="C582" s="30" t="s">
        <v>49</v>
      </c>
      <c r="D582" s="29">
        <v>190</v>
      </c>
      <c r="E582" s="29" t="s">
        <v>11</v>
      </c>
      <c r="F582" s="83">
        <f>B582*D582</f>
        <v>380</v>
      </c>
      <c r="G582" s="9" t="s">
        <v>11</v>
      </c>
      <c r="H582" s="29" t="s">
        <v>11</v>
      </c>
    </row>
    <row r="583" spans="1:8">
      <c r="A583" s="29" t="s">
        <v>255</v>
      </c>
      <c r="B583" s="82">
        <v>1</v>
      </c>
      <c r="C583" s="30" t="s">
        <v>49</v>
      </c>
      <c r="D583" s="9">
        <v>5000</v>
      </c>
      <c r="E583" s="29" t="s">
        <v>11</v>
      </c>
      <c r="F583" s="83">
        <f>B583*D583</f>
        <v>5000</v>
      </c>
      <c r="G583" s="9" t="s">
        <v>11</v>
      </c>
      <c r="H583" s="29" t="s">
        <v>11</v>
      </c>
    </row>
    <row r="584" spans="1:8">
      <c r="A584" s="29" t="s">
        <v>68</v>
      </c>
      <c r="B584" s="91">
        <v>0.09</v>
      </c>
      <c r="C584" s="30" t="s">
        <v>69</v>
      </c>
      <c r="D584" s="9">
        <v>170000</v>
      </c>
      <c r="E584" s="29" t="s">
        <v>11</v>
      </c>
      <c r="F584" s="29" t="s">
        <v>11</v>
      </c>
      <c r="G584" s="9">
        <f>B584*D584</f>
        <v>15300</v>
      </c>
      <c r="H584" s="29" t="s">
        <v>11</v>
      </c>
    </row>
    <row r="585" spans="1:8">
      <c r="A585" s="76" t="s">
        <v>70</v>
      </c>
      <c r="B585" s="85">
        <f>ROUND((SUM(E585:H585)),0)</f>
        <v>26980</v>
      </c>
      <c r="C585" s="78" t="s">
        <v>73</v>
      </c>
      <c r="D585" s="86"/>
      <c r="E585" s="80">
        <f>SUM(E580:E584)</f>
        <v>0</v>
      </c>
      <c r="F585" s="80">
        <f>SUM(F580:F584)</f>
        <v>11680</v>
      </c>
      <c r="G585" s="80">
        <f>SUM(G580:G584)</f>
        <v>15300</v>
      </c>
      <c r="H585" s="80">
        <f>SUM(H580:H584)</f>
        <v>0</v>
      </c>
    </row>
    <row r="587" spans="1:8">
      <c r="A587" s="63" t="s">
        <v>256</v>
      </c>
    </row>
    <row r="588" spans="1:8">
      <c r="A588" s="63"/>
      <c r="E588" s="68" t="s">
        <v>61</v>
      </c>
      <c r="F588" s="68" t="s">
        <v>62</v>
      </c>
      <c r="G588" s="68" t="s">
        <v>63</v>
      </c>
      <c r="H588" s="68" t="s">
        <v>64</v>
      </c>
    </row>
    <row r="589" spans="1:8">
      <c r="A589" s="29" t="s">
        <v>253</v>
      </c>
      <c r="B589" s="82">
        <v>1</v>
      </c>
      <c r="C589" s="30" t="s">
        <v>49</v>
      </c>
      <c r="D589" s="9">
        <v>1500</v>
      </c>
      <c r="E589" s="29" t="s">
        <v>11</v>
      </c>
      <c r="F589" s="83">
        <f>B589*D589</f>
        <v>1500</v>
      </c>
      <c r="G589" s="9" t="s">
        <v>11</v>
      </c>
      <c r="H589" s="29" t="s">
        <v>11</v>
      </c>
    </row>
    <row r="590" spans="1:8">
      <c r="A590" s="29" t="s">
        <v>194</v>
      </c>
      <c r="B590" s="82">
        <v>6</v>
      </c>
      <c r="C590" s="30" t="s">
        <v>66</v>
      </c>
      <c r="D590" s="29">
        <v>800</v>
      </c>
      <c r="E590" s="29" t="s">
        <v>11</v>
      </c>
      <c r="F590" s="83">
        <f>B590*D590</f>
        <v>4800</v>
      </c>
      <c r="G590" s="9" t="s">
        <v>11</v>
      </c>
      <c r="H590" s="29" t="s">
        <v>11</v>
      </c>
    </row>
    <row r="591" spans="1:8">
      <c r="A591" s="29" t="s">
        <v>254</v>
      </c>
      <c r="B591" s="82">
        <v>2</v>
      </c>
      <c r="C591" s="30" t="s">
        <v>49</v>
      </c>
      <c r="D591" s="29">
        <v>190</v>
      </c>
      <c r="E591" s="29" t="s">
        <v>11</v>
      </c>
      <c r="F591" s="83">
        <f>B591*D591</f>
        <v>380</v>
      </c>
      <c r="G591" s="9" t="s">
        <v>11</v>
      </c>
      <c r="H591" s="29" t="s">
        <v>11</v>
      </c>
    </row>
    <row r="592" spans="1:8">
      <c r="A592" s="29" t="s">
        <v>257</v>
      </c>
      <c r="B592" s="82">
        <v>1</v>
      </c>
      <c r="C592" s="30" t="s">
        <v>49</v>
      </c>
      <c r="D592" s="9">
        <v>6000</v>
      </c>
      <c r="E592" s="29" t="s">
        <v>11</v>
      </c>
      <c r="F592" s="83">
        <f>B592*D592</f>
        <v>6000</v>
      </c>
      <c r="G592" s="9" t="s">
        <v>11</v>
      </c>
      <c r="H592" s="29" t="s">
        <v>11</v>
      </c>
    </row>
    <row r="593" spans="1:8">
      <c r="A593" s="29" t="s">
        <v>68</v>
      </c>
      <c r="B593" s="91">
        <v>0.09</v>
      </c>
      <c r="C593" s="30" t="s">
        <v>69</v>
      </c>
      <c r="D593" s="9">
        <v>170000</v>
      </c>
      <c r="E593" s="29" t="s">
        <v>11</v>
      </c>
      <c r="F593" s="29" t="s">
        <v>11</v>
      </c>
      <c r="G593" s="9">
        <f>B593*D593</f>
        <v>15300</v>
      </c>
      <c r="H593" s="29" t="s">
        <v>11</v>
      </c>
    </row>
    <row r="594" spans="1:8">
      <c r="A594" s="76" t="s">
        <v>70</v>
      </c>
      <c r="B594" s="85">
        <f>ROUND((SUM(E594:H594)),0)</f>
        <v>27980</v>
      </c>
      <c r="C594" s="78" t="s">
        <v>73</v>
      </c>
      <c r="D594" s="86"/>
      <c r="E594" s="80">
        <f>SUM(E589:E593)</f>
        <v>0</v>
      </c>
      <c r="F594" s="80">
        <f>SUM(F589:F593)</f>
        <v>12680</v>
      </c>
      <c r="G594" s="80">
        <f>SUM(G589:G593)</f>
        <v>15300</v>
      </c>
      <c r="H594" s="80">
        <f>SUM(H589:H593)</f>
        <v>0</v>
      </c>
    </row>
    <row r="596" spans="1:8">
      <c r="A596" s="63" t="s">
        <v>324</v>
      </c>
    </row>
    <row r="597" spans="1:8">
      <c r="A597" s="63"/>
      <c r="E597" s="68" t="s">
        <v>61</v>
      </c>
      <c r="F597" s="68" t="s">
        <v>62</v>
      </c>
      <c r="G597" s="68" t="s">
        <v>63</v>
      </c>
      <c r="H597" s="68" t="s">
        <v>64</v>
      </c>
    </row>
    <row r="598" spans="1:8">
      <c r="A598" s="29" t="s">
        <v>325</v>
      </c>
      <c r="B598" s="82">
        <v>1</v>
      </c>
      <c r="C598" s="30" t="s">
        <v>49</v>
      </c>
      <c r="D598" s="9">
        <v>12500</v>
      </c>
      <c r="E598" s="29" t="s">
        <v>11</v>
      </c>
      <c r="F598" s="83">
        <f>B598*D598</f>
        <v>12500</v>
      </c>
      <c r="G598" s="9" t="s">
        <v>11</v>
      </c>
      <c r="H598" s="29" t="s">
        <v>11</v>
      </c>
    </row>
    <row r="599" spans="1:8">
      <c r="A599" s="29" t="s">
        <v>326</v>
      </c>
      <c r="B599" s="82">
        <v>1</v>
      </c>
      <c r="C599" s="30" t="s">
        <v>8</v>
      </c>
      <c r="D599" s="29">
        <v>7000</v>
      </c>
      <c r="E599" s="29" t="s">
        <v>11</v>
      </c>
      <c r="F599" s="83">
        <f>B599*D599</f>
        <v>7000</v>
      </c>
      <c r="G599" s="9" t="s">
        <v>11</v>
      </c>
      <c r="H599" s="29" t="s">
        <v>11</v>
      </c>
    </row>
    <row r="600" spans="1:8">
      <c r="A600" s="29" t="s">
        <v>68</v>
      </c>
      <c r="B600" s="135">
        <v>4.7058000000000003E-2</v>
      </c>
      <c r="C600" s="30" t="s">
        <v>69</v>
      </c>
      <c r="D600" s="9">
        <v>170000</v>
      </c>
      <c r="E600" s="29" t="s">
        <v>11</v>
      </c>
      <c r="F600" s="29" t="s">
        <v>11</v>
      </c>
      <c r="G600" s="9">
        <f>B600*D600</f>
        <v>7999.8600000000006</v>
      </c>
      <c r="H600" s="29" t="s">
        <v>11</v>
      </c>
    </row>
    <row r="601" spans="1:8">
      <c r="A601" s="76" t="s">
        <v>70</v>
      </c>
      <c r="B601" s="85">
        <f>ROUND((SUM(E601:H601)),0)</f>
        <v>27500</v>
      </c>
      <c r="C601" s="78" t="s">
        <v>73</v>
      </c>
      <c r="D601" s="86"/>
      <c r="E601" s="80">
        <f>SUM(E598:E600)</f>
        <v>0</v>
      </c>
      <c r="F601" s="80">
        <f>SUM(F598:F600)</f>
        <v>19500</v>
      </c>
      <c r="G601" s="80">
        <f>SUM(G598:G600)</f>
        <v>7999.8600000000006</v>
      </c>
      <c r="H601" s="80">
        <f>SUM(H598:H600)</f>
        <v>0</v>
      </c>
    </row>
    <row r="603" spans="1:8">
      <c r="A603" s="63" t="s">
        <v>327</v>
      </c>
    </row>
    <row r="604" spans="1:8">
      <c r="A604" s="63"/>
      <c r="E604" s="68" t="s">
        <v>61</v>
      </c>
      <c r="F604" s="68" t="s">
        <v>62</v>
      </c>
      <c r="G604" s="68" t="s">
        <v>63</v>
      </c>
      <c r="H604" s="68" t="s">
        <v>64</v>
      </c>
    </row>
    <row r="605" spans="1:8">
      <c r="A605" s="29" t="s">
        <v>328</v>
      </c>
      <c r="B605" s="82">
        <v>1</v>
      </c>
      <c r="C605" s="30" t="s">
        <v>49</v>
      </c>
      <c r="D605" s="9">
        <v>23750</v>
      </c>
      <c r="E605" s="29" t="s">
        <v>11</v>
      </c>
      <c r="F605" s="83">
        <f>B605*D605</f>
        <v>23750</v>
      </c>
      <c r="G605" s="9" t="s">
        <v>11</v>
      </c>
      <c r="H605" s="29" t="s">
        <v>11</v>
      </c>
    </row>
    <row r="606" spans="1:8">
      <c r="A606" s="29" t="s">
        <v>326</v>
      </c>
      <c r="B606" s="82">
        <v>1</v>
      </c>
      <c r="C606" s="30" t="s">
        <v>8</v>
      </c>
      <c r="D606" s="29">
        <v>7000</v>
      </c>
      <c r="E606" s="29" t="s">
        <v>11</v>
      </c>
      <c r="F606" s="83">
        <f>B606*D606</f>
        <v>7000</v>
      </c>
      <c r="G606" s="9" t="s">
        <v>11</v>
      </c>
      <c r="H606" s="29" t="s">
        <v>11</v>
      </c>
    </row>
    <row r="607" spans="1:8">
      <c r="A607" s="29" t="s">
        <v>68</v>
      </c>
      <c r="B607" s="135">
        <v>4.7058000000000003E-2</v>
      </c>
      <c r="C607" s="30" t="s">
        <v>69</v>
      </c>
      <c r="D607" s="9">
        <v>170000</v>
      </c>
      <c r="E607" s="29" t="s">
        <v>11</v>
      </c>
      <c r="F607" s="29" t="s">
        <v>11</v>
      </c>
      <c r="G607" s="9">
        <f>B607*D607</f>
        <v>7999.8600000000006</v>
      </c>
      <c r="H607" s="29" t="s">
        <v>11</v>
      </c>
    </row>
    <row r="608" spans="1:8">
      <c r="A608" s="76" t="s">
        <v>70</v>
      </c>
      <c r="B608" s="85">
        <f>ROUND((SUM(E608:H608)),0)</f>
        <v>38750</v>
      </c>
      <c r="C608" s="78" t="s">
        <v>73</v>
      </c>
      <c r="D608" s="86"/>
      <c r="E608" s="80">
        <f>SUM(E605:E607)</f>
        <v>0</v>
      </c>
      <c r="F608" s="80">
        <f>SUM(F605:F607)</f>
        <v>30750</v>
      </c>
      <c r="G608" s="80">
        <f>SUM(G605:G607)</f>
        <v>7999.8600000000006</v>
      </c>
      <c r="H608" s="80">
        <f>SUM(H605:H607)</f>
        <v>0</v>
      </c>
    </row>
    <row r="610" spans="1:8">
      <c r="A610" s="63" t="s">
        <v>329</v>
      </c>
    </row>
    <row r="611" spans="1:8">
      <c r="A611" s="63"/>
      <c r="E611" s="68" t="s">
        <v>61</v>
      </c>
      <c r="F611" s="68" t="s">
        <v>62</v>
      </c>
      <c r="G611" s="68" t="s">
        <v>63</v>
      </c>
      <c r="H611" s="68" t="s">
        <v>64</v>
      </c>
    </row>
    <row r="612" spans="1:8">
      <c r="A612" s="29" t="s">
        <v>330</v>
      </c>
      <c r="B612" s="82">
        <v>1</v>
      </c>
      <c r="C612" s="30" t="s">
        <v>49</v>
      </c>
      <c r="D612" s="9">
        <v>55000</v>
      </c>
      <c r="E612" s="29" t="s">
        <v>11</v>
      </c>
      <c r="F612" s="83">
        <f>B612*D612</f>
        <v>55000</v>
      </c>
      <c r="G612" s="9" t="s">
        <v>11</v>
      </c>
      <c r="H612" s="29" t="s">
        <v>11</v>
      </c>
    </row>
    <row r="613" spans="1:8">
      <c r="A613" s="29" t="s">
        <v>68</v>
      </c>
      <c r="B613" s="135">
        <v>4.7058000000000003E-2</v>
      </c>
      <c r="C613" s="30" t="s">
        <v>69</v>
      </c>
      <c r="D613" s="9">
        <v>170000</v>
      </c>
      <c r="E613" s="29" t="s">
        <v>11</v>
      </c>
      <c r="F613" s="29" t="s">
        <v>11</v>
      </c>
      <c r="G613" s="9">
        <f>B613*D613</f>
        <v>7999.8600000000006</v>
      </c>
      <c r="H613" s="29" t="s">
        <v>11</v>
      </c>
    </row>
    <row r="614" spans="1:8">
      <c r="A614" s="76" t="s">
        <v>70</v>
      </c>
      <c r="B614" s="85">
        <f>ROUND((SUM(E614:H614)),0)</f>
        <v>63000</v>
      </c>
      <c r="C614" s="78" t="s">
        <v>73</v>
      </c>
      <c r="D614" s="86"/>
      <c r="E614" s="80">
        <f>SUM(E612:E613)</f>
        <v>0</v>
      </c>
      <c r="F614" s="80">
        <f>SUM(F612:F613)</f>
        <v>55000</v>
      </c>
      <c r="G614" s="80">
        <f>SUM(G612:G613)</f>
        <v>7999.8600000000006</v>
      </c>
      <c r="H614" s="80">
        <f>SUM(H612:H613)</f>
        <v>0</v>
      </c>
    </row>
    <row r="616" spans="1:8">
      <c r="A616" s="63" t="s">
        <v>331</v>
      </c>
    </row>
    <row r="617" spans="1:8">
      <c r="A617" s="63"/>
      <c r="E617" s="68" t="s">
        <v>61</v>
      </c>
      <c r="F617" s="68" t="s">
        <v>62</v>
      </c>
      <c r="G617" s="68" t="s">
        <v>63</v>
      </c>
      <c r="H617" s="68" t="s">
        <v>64</v>
      </c>
    </row>
    <row r="618" spans="1:8">
      <c r="A618" s="29" t="s">
        <v>332</v>
      </c>
      <c r="B618" s="82">
        <v>1</v>
      </c>
      <c r="C618" s="30" t="s">
        <v>49</v>
      </c>
      <c r="D618" s="9">
        <v>48750</v>
      </c>
      <c r="E618" s="29" t="s">
        <v>11</v>
      </c>
      <c r="F618" s="83">
        <f>B618*D618</f>
        <v>48750</v>
      </c>
      <c r="G618" s="9" t="s">
        <v>11</v>
      </c>
      <c r="H618" s="29" t="s">
        <v>11</v>
      </c>
    </row>
    <row r="619" spans="1:8">
      <c r="A619" s="29" t="s">
        <v>68</v>
      </c>
      <c r="B619" s="135">
        <v>4.7058000000000003E-2</v>
      </c>
      <c r="C619" s="30" t="s">
        <v>69</v>
      </c>
      <c r="D619" s="9">
        <v>170000</v>
      </c>
      <c r="E619" s="29" t="s">
        <v>11</v>
      </c>
      <c r="F619" s="29" t="s">
        <v>11</v>
      </c>
      <c r="G619" s="9">
        <f>B619*D619</f>
        <v>7999.8600000000006</v>
      </c>
      <c r="H619" s="29" t="s">
        <v>11</v>
      </c>
    </row>
    <row r="620" spans="1:8">
      <c r="A620" s="76" t="s">
        <v>70</v>
      </c>
      <c r="B620" s="85">
        <f>ROUND((SUM(E620:H620)),0)</f>
        <v>56750</v>
      </c>
      <c r="C620" s="78" t="s">
        <v>73</v>
      </c>
      <c r="D620" s="86"/>
      <c r="E620" s="80">
        <f>SUM(E618:E619)</f>
        <v>0</v>
      </c>
      <c r="F620" s="80">
        <f>SUM(F618:F619)</f>
        <v>48750</v>
      </c>
      <c r="G620" s="80">
        <f>SUM(G618:G619)</f>
        <v>7999.8600000000006</v>
      </c>
      <c r="H620" s="80">
        <f>SUM(H618:H619)</f>
        <v>0</v>
      </c>
    </row>
    <row r="622" spans="1:8">
      <c r="A622" s="63" t="s">
        <v>333</v>
      </c>
    </row>
    <row r="623" spans="1:8">
      <c r="A623" s="63"/>
      <c r="E623" s="68" t="s">
        <v>61</v>
      </c>
      <c r="F623" s="68" t="s">
        <v>62</v>
      </c>
      <c r="G623" s="68" t="s">
        <v>63</v>
      </c>
      <c r="H623" s="68" t="s">
        <v>64</v>
      </c>
    </row>
    <row r="624" spans="1:8">
      <c r="A624" s="29" t="s">
        <v>334</v>
      </c>
      <c r="B624" s="82">
        <v>1</v>
      </c>
      <c r="C624" s="30" t="s">
        <v>49</v>
      </c>
      <c r="D624" s="9">
        <v>160000</v>
      </c>
      <c r="E624" s="29" t="s">
        <v>11</v>
      </c>
      <c r="F624" s="83">
        <f>B624*D624</f>
        <v>160000</v>
      </c>
      <c r="G624" s="9" t="s">
        <v>11</v>
      </c>
      <c r="H624" s="29" t="s">
        <v>11</v>
      </c>
    </row>
    <row r="625" spans="1:8">
      <c r="A625" s="29" t="s">
        <v>68</v>
      </c>
      <c r="B625" s="135">
        <v>4.7058000000000003E-2</v>
      </c>
      <c r="C625" s="30" t="s">
        <v>69</v>
      </c>
      <c r="D625" s="9">
        <v>170000</v>
      </c>
      <c r="E625" s="29" t="s">
        <v>11</v>
      </c>
      <c r="F625" s="29" t="s">
        <v>11</v>
      </c>
      <c r="G625" s="9">
        <f>B625*D625</f>
        <v>7999.8600000000006</v>
      </c>
      <c r="H625" s="29" t="s">
        <v>11</v>
      </c>
    </row>
    <row r="626" spans="1:8">
      <c r="A626" s="76" t="s">
        <v>70</v>
      </c>
      <c r="B626" s="85">
        <f>ROUND((SUM(E626:H626)),0)</f>
        <v>168000</v>
      </c>
      <c r="C626" s="78" t="s">
        <v>73</v>
      </c>
      <c r="D626" s="86"/>
      <c r="E626" s="80">
        <f>SUM(E624:E625)</f>
        <v>0</v>
      </c>
      <c r="F626" s="80">
        <f>SUM(F624:F625)</f>
        <v>160000</v>
      </c>
      <c r="G626" s="80">
        <f>SUM(G624:G625)</f>
        <v>7999.8600000000006</v>
      </c>
      <c r="H626" s="80">
        <f>SUM(H624:H625)</f>
        <v>0</v>
      </c>
    </row>
    <row r="629" spans="1:8">
      <c r="A629" s="63" t="s">
        <v>258</v>
      </c>
    </row>
    <row r="630" spans="1:8">
      <c r="A630" s="63"/>
      <c r="E630" s="68" t="s">
        <v>61</v>
      </c>
      <c r="F630" s="68" t="s">
        <v>62</v>
      </c>
      <c r="G630" s="68" t="s">
        <v>63</v>
      </c>
      <c r="H630" s="68" t="s">
        <v>64</v>
      </c>
    </row>
    <row r="631" spans="1:8">
      <c r="A631" s="29" t="s">
        <v>259</v>
      </c>
      <c r="B631" s="82">
        <v>1</v>
      </c>
      <c r="C631" s="30" t="s">
        <v>49</v>
      </c>
      <c r="D631" s="9">
        <v>55700</v>
      </c>
      <c r="E631" s="29" t="s">
        <v>11</v>
      </c>
      <c r="F631" s="83">
        <f>B631*D631</f>
        <v>55700</v>
      </c>
      <c r="G631" s="9" t="s">
        <v>11</v>
      </c>
      <c r="H631" s="29" t="s">
        <v>11</v>
      </c>
    </row>
    <row r="632" spans="1:8">
      <c r="A632" s="29" t="s">
        <v>68</v>
      </c>
      <c r="B632" s="156">
        <v>0.14705879999999999</v>
      </c>
      <c r="C632" s="30" t="s">
        <v>69</v>
      </c>
      <c r="D632" s="9">
        <v>170000</v>
      </c>
      <c r="E632" s="29" t="s">
        <v>11</v>
      </c>
      <c r="F632" s="29" t="s">
        <v>11</v>
      </c>
      <c r="G632" s="9">
        <f>B632*D632</f>
        <v>24999.995999999999</v>
      </c>
      <c r="H632" s="29" t="s">
        <v>11</v>
      </c>
    </row>
    <row r="633" spans="1:8">
      <c r="A633" s="76" t="s">
        <v>70</v>
      </c>
      <c r="B633" s="85">
        <f>ROUND((SUM(E633:H633)),0)</f>
        <v>80700</v>
      </c>
      <c r="C633" s="78" t="s">
        <v>73</v>
      </c>
      <c r="D633" s="86"/>
      <c r="E633" s="80">
        <f>SUM(E631:E632)</f>
        <v>0</v>
      </c>
      <c r="F633" s="80">
        <f>SUM(F631:F632)</f>
        <v>55700</v>
      </c>
      <c r="G633" s="80">
        <f>SUM(G631:G632)</f>
        <v>24999.995999999999</v>
      </c>
      <c r="H633" s="80">
        <f>SUM(H631:H632)</f>
        <v>0</v>
      </c>
    </row>
    <row r="635" spans="1:8">
      <c r="A635" s="63" t="s">
        <v>260</v>
      </c>
    </row>
    <row r="636" spans="1:8">
      <c r="A636" s="63"/>
      <c r="E636" s="68" t="s">
        <v>61</v>
      </c>
      <c r="F636" s="68" t="s">
        <v>62</v>
      </c>
      <c r="G636" s="68" t="s">
        <v>63</v>
      </c>
      <c r="H636" s="68" t="s">
        <v>64</v>
      </c>
    </row>
    <row r="637" spans="1:8">
      <c r="A637" s="29" t="s">
        <v>261</v>
      </c>
      <c r="B637" s="82">
        <v>1</v>
      </c>
      <c r="C637" s="30" t="s">
        <v>66</v>
      </c>
      <c r="D637" s="9">
        <v>2900</v>
      </c>
      <c r="E637" s="29" t="s">
        <v>11</v>
      </c>
      <c r="F637" s="83">
        <f>B637*D637</f>
        <v>2900</v>
      </c>
      <c r="G637" s="9" t="s">
        <v>11</v>
      </c>
      <c r="H637" s="29" t="s">
        <v>11</v>
      </c>
    </row>
    <row r="638" spans="1:8">
      <c r="A638" s="29" t="s">
        <v>126</v>
      </c>
      <c r="B638" s="82">
        <v>1</v>
      </c>
      <c r="C638" s="30" t="s">
        <v>66</v>
      </c>
      <c r="D638" s="9">
        <v>500</v>
      </c>
      <c r="E638" s="29" t="s">
        <v>11</v>
      </c>
      <c r="F638" s="83">
        <f>B638*D638</f>
        <v>500</v>
      </c>
      <c r="G638" s="9" t="s">
        <v>11</v>
      </c>
      <c r="H638" s="29" t="s">
        <v>11</v>
      </c>
    </row>
    <row r="639" spans="1:8">
      <c r="A639" s="29" t="s">
        <v>68</v>
      </c>
      <c r="B639" s="87">
        <v>8.8999999999999999E-3</v>
      </c>
      <c r="C639" s="30" t="s">
        <v>69</v>
      </c>
      <c r="D639" s="9">
        <v>170000</v>
      </c>
      <c r="E639" s="29" t="s">
        <v>11</v>
      </c>
      <c r="F639" s="83"/>
      <c r="G639" s="9">
        <f>B639*D639</f>
        <v>1513</v>
      </c>
      <c r="H639" s="29" t="s">
        <v>11</v>
      </c>
    </row>
    <row r="640" spans="1:8">
      <c r="A640" s="76" t="s">
        <v>70</v>
      </c>
      <c r="B640" s="85">
        <f>ROUND((SUM(E640:H640)),0)</f>
        <v>4913</v>
      </c>
      <c r="C640" s="78" t="s">
        <v>71</v>
      </c>
      <c r="D640" s="86"/>
      <c r="E640" s="80">
        <f>SUM(E637:E639)</f>
        <v>0</v>
      </c>
      <c r="F640" s="80">
        <f>SUM(F637:F639)</f>
        <v>3400</v>
      </c>
      <c r="G640" s="80">
        <f>SUM(G637:G639)</f>
        <v>1513</v>
      </c>
      <c r="H640" s="80">
        <f>SUM(H637:H639)</f>
        <v>0</v>
      </c>
    </row>
    <row r="642" spans="1:8">
      <c r="A642" s="63" t="s">
        <v>262</v>
      </c>
    </row>
    <row r="643" spans="1:8">
      <c r="A643" s="63"/>
      <c r="E643" s="68" t="s">
        <v>61</v>
      </c>
      <c r="F643" s="68" t="s">
        <v>62</v>
      </c>
      <c r="G643" s="68" t="s">
        <v>63</v>
      </c>
      <c r="H643" s="68" t="s">
        <v>64</v>
      </c>
    </row>
    <row r="644" spans="1:8">
      <c r="A644" s="29" t="s">
        <v>263</v>
      </c>
      <c r="B644" s="82">
        <v>1</v>
      </c>
      <c r="C644" s="30" t="s">
        <v>66</v>
      </c>
      <c r="D644" s="9">
        <v>45000</v>
      </c>
      <c r="E644" s="29" t="s">
        <v>11</v>
      </c>
      <c r="F644" s="83">
        <f>B644*D644</f>
        <v>45000</v>
      </c>
      <c r="G644" s="9" t="s">
        <v>11</v>
      </c>
      <c r="H644" s="29" t="s">
        <v>11</v>
      </c>
    </row>
    <row r="645" spans="1:8">
      <c r="A645" s="29" t="s">
        <v>264</v>
      </c>
      <c r="B645" s="82">
        <v>1</v>
      </c>
      <c r="C645" s="30" t="s">
        <v>18</v>
      </c>
      <c r="D645" s="9">
        <v>12000</v>
      </c>
      <c r="E645" s="29"/>
      <c r="F645" s="83">
        <f>B645*D645</f>
        <v>12000</v>
      </c>
      <c r="G645" s="9"/>
      <c r="H645" s="29"/>
    </row>
    <row r="646" spans="1:8">
      <c r="A646" s="29" t="s">
        <v>265</v>
      </c>
      <c r="B646" s="82">
        <v>1</v>
      </c>
      <c r="C646" s="30" t="s">
        <v>75</v>
      </c>
      <c r="D646" s="9">
        <v>5000</v>
      </c>
      <c r="E646" s="29" t="s">
        <v>11</v>
      </c>
      <c r="F646" s="83">
        <f>B646*D646</f>
        <v>5000</v>
      </c>
      <c r="G646" s="9" t="s">
        <v>11</v>
      </c>
      <c r="H646" s="29" t="s">
        <v>11</v>
      </c>
    </row>
    <row r="647" spans="1:8">
      <c r="A647" s="29" t="s">
        <v>68</v>
      </c>
      <c r="B647" s="87">
        <v>8.8300000000000003E-2</v>
      </c>
      <c r="C647" s="30" t="s">
        <v>69</v>
      </c>
      <c r="D647" s="9">
        <v>170000</v>
      </c>
      <c r="E647" s="29" t="s">
        <v>11</v>
      </c>
      <c r="F647" s="83"/>
      <c r="G647" s="9">
        <f>B647*D647</f>
        <v>15011</v>
      </c>
      <c r="H647" s="29" t="s">
        <v>11</v>
      </c>
    </row>
    <row r="648" spans="1:8">
      <c r="A648" s="76" t="s">
        <v>70</v>
      </c>
      <c r="B648" s="85">
        <f>ROUND((SUM(E648:H648)),0)</f>
        <v>77011</v>
      </c>
      <c r="C648" s="78" t="s">
        <v>71</v>
      </c>
      <c r="D648" s="86"/>
      <c r="E648" s="80">
        <f>SUM(E644:E647)</f>
        <v>0</v>
      </c>
      <c r="F648" s="80">
        <f>SUM(F644:F647)</f>
        <v>62000</v>
      </c>
      <c r="G648" s="80">
        <f>SUM(G644:G647)</f>
        <v>15011</v>
      </c>
      <c r="H648" s="80">
        <f>SUM(H644:H647)</f>
        <v>0</v>
      </c>
    </row>
    <row r="654" spans="1:8">
      <c r="A654" s="63" t="s">
        <v>266</v>
      </c>
    </row>
    <row r="655" spans="1:8">
      <c r="A655" s="63"/>
      <c r="E655" s="68" t="s">
        <v>61</v>
      </c>
      <c r="F655" s="68" t="s">
        <v>62</v>
      </c>
      <c r="G655" s="68" t="s">
        <v>63</v>
      </c>
      <c r="H655" s="68" t="s">
        <v>64</v>
      </c>
    </row>
    <row r="656" spans="1:8" s="121" customFormat="1" ht="14.25">
      <c r="A656" s="29" t="s">
        <v>100</v>
      </c>
      <c r="B656" s="82">
        <v>2</v>
      </c>
      <c r="C656" s="30" t="s">
        <v>66</v>
      </c>
      <c r="D656" s="9">
        <v>3723</v>
      </c>
      <c r="E656" s="29" t="s">
        <v>11</v>
      </c>
      <c r="F656" s="83">
        <f>B656*D656</f>
        <v>7446</v>
      </c>
      <c r="G656" s="9" t="s">
        <v>11</v>
      </c>
      <c r="H656" s="29" t="s">
        <v>11</v>
      </c>
    </row>
    <row r="657" spans="1:8" s="121" customFormat="1" ht="14.25">
      <c r="A657" s="29" t="s">
        <v>190</v>
      </c>
      <c r="B657" s="82">
        <v>1</v>
      </c>
      <c r="C657" s="30" t="s">
        <v>66</v>
      </c>
      <c r="D657" s="9">
        <v>1713</v>
      </c>
      <c r="E657" s="29" t="s">
        <v>11</v>
      </c>
      <c r="F657" s="83">
        <f>B657*D657</f>
        <v>1713</v>
      </c>
      <c r="G657" s="9" t="s">
        <v>11</v>
      </c>
      <c r="H657" s="29" t="s">
        <v>11</v>
      </c>
    </row>
    <row r="658" spans="1:8" s="121" customFormat="1" ht="14.25">
      <c r="A658" s="29" t="s">
        <v>194</v>
      </c>
      <c r="B658" s="82">
        <v>1</v>
      </c>
      <c r="C658" s="30" t="s">
        <v>66</v>
      </c>
      <c r="D658" s="9">
        <v>890</v>
      </c>
      <c r="E658" s="29" t="s">
        <v>11</v>
      </c>
      <c r="F658" s="83">
        <f>B658*D658</f>
        <v>890</v>
      </c>
      <c r="G658" s="9" t="s">
        <v>11</v>
      </c>
      <c r="H658" s="29" t="s">
        <v>11</v>
      </c>
    </row>
    <row r="659" spans="1:8" s="121" customFormat="1" ht="14.25">
      <c r="A659" s="29" t="s">
        <v>68</v>
      </c>
      <c r="B659" s="87">
        <v>2.9409999999999999E-2</v>
      </c>
      <c r="C659" s="30" t="s">
        <v>69</v>
      </c>
      <c r="D659" s="9">
        <v>170000</v>
      </c>
      <c r="E659" s="29" t="s">
        <v>11</v>
      </c>
      <c r="F659" s="83"/>
      <c r="G659" s="9">
        <f>B659*D659</f>
        <v>4999.7</v>
      </c>
      <c r="H659" s="29" t="s">
        <v>11</v>
      </c>
    </row>
    <row r="660" spans="1:8">
      <c r="A660" s="76" t="s">
        <v>70</v>
      </c>
      <c r="B660" s="85">
        <f>ROUND((SUM(E660:H660)),0)</f>
        <v>15049</v>
      </c>
      <c r="C660" s="78" t="s">
        <v>71</v>
      </c>
      <c r="D660" s="86"/>
      <c r="E660" s="80">
        <f>SUM(E656:E659)</f>
        <v>0</v>
      </c>
      <c r="F660" s="80">
        <f>SUM(F656:F659)</f>
        <v>10049</v>
      </c>
      <c r="G660" s="80">
        <f>SUM(G656:G659)</f>
        <v>4999.7</v>
      </c>
      <c r="H660" s="80">
        <f>SUM(H656:H659)</f>
        <v>0</v>
      </c>
    </row>
    <row r="662" spans="1:8">
      <c r="A662" s="63" t="s">
        <v>267</v>
      </c>
    </row>
    <row r="663" spans="1:8">
      <c r="A663" s="63"/>
      <c r="E663" s="68" t="s">
        <v>61</v>
      </c>
      <c r="F663" s="68" t="s">
        <v>62</v>
      </c>
      <c r="G663" s="68" t="s">
        <v>63</v>
      </c>
      <c r="H663" s="68" t="s">
        <v>64</v>
      </c>
    </row>
    <row r="664" spans="1:8">
      <c r="A664" s="29" t="s">
        <v>268</v>
      </c>
      <c r="B664" s="82">
        <v>1</v>
      </c>
      <c r="C664" s="30" t="s">
        <v>49</v>
      </c>
      <c r="D664" s="9">
        <v>57000</v>
      </c>
      <c r="E664" s="29" t="s">
        <v>11</v>
      </c>
      <c r="F664" s="83">
        <f>B664*D664</f>
        <v>57000</v>
      </c>
      <c r="G664" s="9" t="s">
        <v>11</v>
      </c>
      <c r="H664" s="29" t="s">
        <v>11</v>
      </c>
    </row>
    <row r="665" spans="1:8">
      <c r="A665" s="29" t="s">
        <v>68</v>
      </c>
      <c r="B665" s="91">
        <v>0.17649999999999999</v>
      </c>
      <c r="C665" s="30" t="s">
        <v>69</v>
      </c>
      <c r="D665" s="9">
        <v>170000</v>
      </c>
      <c r="E665" s="29" t="s">
        <v>11</v>
      </c>
      <c r="F665" s="29" t="s">
        <v>11</v>
      </c>
      <c r="G665" s="9">
        <f>B665*D665</f>
        <v>30005</v>
      </c>
      <c r="H665" s="29" t="s">
        <v>11</v>
      </c>
    </row>
    <row r="666" spans="1:8">
      <c r="A666" s="76" t="s">
        <v>70</v>
      </c>
      <c r="B666" s="85">
        <f>ROUND((SUM(E666:H666)),0)</f>
        <v>87005</v>
      </c>
      <c r="C666" s="78" t="s">
        <v>73</v>
      </c>
      <c r="D666" s="86"/>
      <c r="E666" s="80">
        <f>SUM(E664:E665)</f>
        <v>0</v>
      </c>
      <c r="F666" s="80">
        <f>SUM(F664:F665)</f>
        <v>57000</v>
      </c>
      <c r="G666" s="80">
        <f>SUM(G664:G665)</f>
        <v>30005</v>
      </c>
      <c r="H666" s="80">
        <f>SUM(H664:H665)</f>
        <v>0</v>
      </c>
    </row>
    <row r="668" spans="1:8">
      <c r="A668" s="63" t="s">
        <v>335</v>
      </c>
    </row>
    <row r="669" spans="1:8">
      <c r="A669" s="63"/>
      <c r="E669" s="68" t="s">
        <v>61</v>
      </c>
      <c r="F669" s="68" t="s">
        <v>62</v>
      </c>
      <c r="G669" s="68" t="s">
        <v>63</v>
      </c>
      <c r="H669" s="68" t="s">
        <v>64</v>
      </c>
    </row>
    <row r="670" spans="1:8">
      <c r="A670" s="29" t="s">
        <v>48</v>
      </c>
      <c r="B670" s="82">
        <v>1</v>
      </c>
      <c r="C670" s="30" t="s">
        <v>49</v>
      </c>
      <c r="D670" s="9">
        <v>72500</v>
      </c>
      <c r="E670" s="29" t="s">
        <v>11</v>
      </c>
      <c r="F670" s="83">
        <f>B670*D670</f>
        <v>72500</v>
      </c>
      <c r="G670" s="9" t="s">
        <v>11</v>
      </c>
      <c r="H670" s="29" t="s">
        <v>11</v>
      </c>
    </row>
    <row r="671" spans="1:8">
      <c r="A671" s="29" t="s">
        <v>68</v>
      </c>
      <c r="B671" s="87">
        <v>0.20588000000000001</v>
      </c>
      <c r="C671" s="30" t="s">
        <v>69</v>
      </c>
      <c r="D671" s="9">
        <v>170000</v>
      </c>
      <c r="E671" s="29" t="s">
        <v>11</v>
      </c>
      <c r="F671" s="29" t="s">
        <v>11</v>
      </c>
      <c r="G671" s="9">
        <f>B671*D671</f>
        <v>34999.599999999999</v>
      </c>
      <c r="H671" s="29" t="s">
        <v>11</v>
      </c>
    </row>
    <row r="672" spans="1:8">
      <c r="A672" s="76" t="s">
        <v>70</v>
      </c>
      <c r="B672" s="85">
        <f>ROUND((SUM(E672:H672)),0)</f>
        <v>107500</v>
      </c>
      <c r="C672" s="78" t="s">
        <v>73</v>
      </c>
      <c r="D672" s="86"/>
      <c r="E672" s="80">
        <f>SUM(E670:E671)</f>
        <v>0</v>
      </c>
      <c r="F672" s="80">
        <f>SUM(F670:F671)</f>
        <v>72500</v>
      </c>
      <c r="G672" s="80">
        <f>SUM(G670:G671)</f>
        <v>34999.599999999999</v>
      </c>
      <c r="H672" s="80">
        <f>SUM(H670:H671)</f>
        <v>0</v>
      </c>
    </row>
    <row r="673" spans="1:8">
      <c r="A673" s="122"/>
      <c r="B673" s="123"/>
      <c r="C673" s="124"/>
      <c r="D673" s="125"/>
      <c r="E673" s="126"/>
      <c r="F673" s="126"/>
      <c r="G673" s="126"/>
      <c r="H673" s="126"/>
    </row>
    <row r="674" spans="1:8">
      <c r="A674" s="63" t="s">
        <v>271</v>
      </c>
    </row>
    <row r="675" spans="1:8">
      <c r="A675" s="63"/>
      <c r="E675" s="68" t="s">
        <v>61</v>
      </c>
      <c r="F675" s="68" t="s">
        <v>62</v>
      </c>
      <c r="G675" s="68" t="s">
        <v>63</v>
      </c>
      <c r="H675" s="68" t="s">
        <v>64</v>
      </c>
    </row>
    <row r="676" spans="1:8">
      <c r="A676" s="29" t="s">
        <v>232</v>
      </c>
      <c r="B676" s="82">
        <v>1</v>
      </c>
      <c r="C676" s="30" t="s">
        <v>49</v>
      </c>
      <c r="D676" s="9">
        <v>1200</v>
      </c>
      <c r="E676" s="29" t="s">
        <v>11</v>
      </c>
      <c r="F676" s="83">
        <f t="shared" ref="F676:F681" si="15">B676*D676</f>
        <v>1200</v>
      </c>
      <c r="G676" s="9" t="s">
        <v>11</v>
      </c>
      <c r="H676" s="29" t="s">
        <v>11</v>
      </c>
    </row>
    <row r="677" spans="1:8">
      <c r="A677" s="29" t="s">
        <v>201</v>
      </c>
      <c r="B677" s="82">
        <v>20</v>
      </c>
      <c r="C677" s="30" t="s">
        <v>66</v>
      </c>
      <c r="D677" s="9">
        <v>680</v>
      </c>
      <c r="E677" s="29" t="s">
        <v>11</v>
      </c>
      <c r="F677" s="83">
        <f t="shared" si="15"/>
        <v>13600</v>
      </c>
      <c r="G677" s="9" t="s">
        <v>11</v>
      </c>
      <c r="H677" s="29" t="s">
        <v>11</v>
      </c>
    </row>
    <row r="678" spans="1:8">
      <c r="A678" s="29" t="s">
        <v>197</v>
      </c>
      <c r="B678" s="82">
        <v>5</v>
      </c>
      <c r="C678" s="30" t="s">
        <v>66</v>
      </c>
      <c r="D678" s="29">
        <v>700</v>
      </c>
      <c r="E678" s="29" t="s">
        <v>11</v>
      </c>
      <c r="F678" s="83">
        <f t="shared" si="15"/>
        <v>3500</v>
      </c>
      <c r="G678" s="9" t="s">
        <v>11</v>
      </c>
      <c r="H678" s="29" t="s">
        <v>11</v>
      </c>
    </row>
    <row r="679" spans="1:8">
      <c r="A679" s="29" t="s">
        <v>225</v>
      </c>
      <c r="B679" s="82">
        <v>2</v>
      </c>
      <c r="C679" s="30" t="s">
        <v>49</v>
      </c>
      <c r="D679" s="29">
        <v>190</v>
      </c>
      <c r="E679" s="29" t="s">
        <v>11</v>
      </c>
      <c r="F679" s="83">
        <f t="shared" si="15"/>
        <v>380</v>
      </c>
      <c r="G679" s="9" t="s">
        <v>11</v>
      </c>
      <c r="H679" s="29" t="s">
        <v>11</v>
      </c>
    </row>
    <row r="680" spans="1:8">
      <c r="A680" s="29" t="s">
        <v>226</v>
      </c>
      <c r="B680" s="82">
        <v>3</v>
      </c>
      <c r="C680" s="30" t="s">
        <v>49</v>
      </c>
      <c r="D680" s="29">
        <v>850</v>
      </c>
      <c r="E680" s="29" t="s">
        <v>11</v>
      </c>
      <c r="F680" s="83">
        <f t="shared" si="15"/>
        <v>2550</v>
      </c>
      <c r="G680" s="9" t="s">
        <v>11</v>
      </c>
      <c r="H680" s="29" t="s">
        <v>11</v>
      </c>
    </row>
    <row r="681" spans="1:8">
      <c r="A681" s="29" t="s">
        <v>272</v>
      </c>
      <c r="B681" s="82">
        <v>1</v>
      </c>
      <c r="C681" s="30" t="s">
        <v>49</v>
      </c>
      <c r="D681" s="9">
        <v>6000</v>
      </c>
      <c r="E681" s="29" t="s">
        <v>11</v>
      </c>
      <c r="F681" s="83">
        <f t="shared" si="15"/>
        <v>6000</v>
      </c>
      <c r="G681" s="9" t="s">
        <v>11</v>
      </c>
      <c r="H681" s="29" t="s">
        <v>11</v>
      </c>
    </row>
    <row r="682" spans="1:8">
      <c r="A682" s="29" t="s">
        <v>68</v>
      </c>
      <c r="B682" s="87">
        <v>0.12</v>
      </c>
      <c r="C682" s="30" t="s">
        <v>69</v>
      </c>
      <c r="D682" s="9">
        <v>170000</v>
      </c>
      <c r="E682" s="29" t="s">
        <v>11</v>
      </c>
      <c r="F682" s="29" t="s">
        <v>11</v>
      </c>
      <c r="G682" s="9">
        <f>B682*D682</f>
        <v>20400</v>
      </c>
      <c r="H682" s="29" t="s">
        <v>11</v>
      </c>
    </row>
    <row r="683" spans="1:8">
      <c r="A683" s="76" t="s">
        <v>70</v>
      </c>
      <c r="B683" s="85">
        <f>ROUND((SUM(E683:H683)),0)</f>
        <v>47630</v>
      </c>
      <c r="C683" s="78" t="s">
        <v>73</v>
      </c>
      <c r="D683" s="86"/>
      <c r="E683" s="80">
        <f>SUM(E676:E682)</f>
        <v>0</v>
      </c>
      <c r="F683" s="80">
        <f>SUM(F676:F682)</f>
        <v>27230</v>
      </c>
      <c r="G683" s="80">
        <f>SUM(G676:G682)</f>
        <v>20400</v>
      </c>
      <c r="H683" s="80">
        <f>SUM(H676:H682)</f>
        <v>0</v>
      </c>
    </row>
    <row r="684" spans="1:8">
      <c r="A684" s="122"/>
      <c r="B684" s="123"/>
      <c r="C684" s="124"/>
      <c r="D684" s="125"/>
      <c r="E684" s="126"/>
      <c r="F684" s="126"/>
      <c r="G684" s="126"/>
      <c r="H684" s="126"/>
    </row>
    <row r="685" spans="1:8">
      <c r="A685" s="63" t="s">
        <v>273</v>
      </c>
    </row>
    <row r="686" spans="1:8">
      <c r="A686" s="63"/>
      <c r="E686" s="68" t="s">
        <v>61</v>
      </c>
      <c r="F686" s="68" t="s">
        <v>62</v>
      </c>
      <c r="G686" s="68" t="s">
        <v>63</v>
      </c>
      <c r="H686" s="68" t="s">
        <v>64</v>
      </c>
    </row>
    <row r="687" spans="1:8">
      <c r="A687" s="29" t="s">
        <v>232</v>
      </c>
      <c r="B687" s="82">
        <v>1</v>
      </c>
      <c r="C687" s="30" t="s">
        <v>49</v>
      </c>
      <c r="D687" s="9">
        <v>1200</v>
      </c>
      <c r="E687" s="29" t="s">
        <v>11</v>
      </c>
      <c r="F687" s="83">
        <f t="shared" ref="F687:F692" si="16">B687*D687</f>
        <v>1200</v>
      </c>
      <c r="G687" s="9" t="s">
        <v>11</v>
      </c>
      <c r="H687" s="29" t="s">
        <v>11</v>
      </c>
    </row>
    <row r="688" spans="1:8">
      <c r="A688" s="29" t="s">
        <v>201</v>
      </c>
      <c r="B688" s="82">
        <v>30</v>
      </c>
      <c r="C688" s="30" t="s">
        <v>66</v>
      </c>
      <c r="D688" s="9">
        <v>680</v>
      </c>
      <c r="E688" s="29" t="s">
        <v>11</v>
      </c>
      <c r="F688" s="83">
        <f t="shared" si="16"/>
        <v>20400</v>
      </c>
      <c r="G688" s="9" t="s">
        <v>11</v>
      </c>
      <c r="H688" s="29" t="s">
        <v>11</v>
      </c>
    </row>
    <row r="689" spans="1:8">
      <c r="A689" s="29" t="s">
        <v>197</v>
      </c>
      <c r="B689" s="82">
        <v>5</v>
      </c>
      <c r="C689" s="30" t="s">
        <v>66</v>
      </c>
      <c r="D689" s="29">
        <v>700</v>
      </c>
      <c r="E689" s="29" t="s">
        <v>11</v>
      </c>
      <c r="F689" s="83">
        <f t="shared" si="16"/>
        <v>3500</v>
      </c>
      <c r="G689" s="9" t="s">
        <v>11</v>
      </c>
      <c r="H689" s="29" t="s">
        <v>11</v>
      </c>
    </row>
    <row r="690" spans="1:8">
      <c r="A690" s="29" t="s">
        <v>225</v>
      </c>
      <c r="B690" s="82">
        <v>2</v>
      </c>
      <c r="C690" s="30" t="s">
        <v>49</v>
      </c>
      <c r="D690" s="29">
        <v>190</v>
      </c>
      <c r="E690" s="29" t="s">
        <v>11</v>
      </c>
      <c r="F690" s="83">
        <f t="shared" si="16"/>
        <v>380</v>
      </c>
      <c r="G690" s="9" t="s">
        <v>11</v>
      </c>
      <c r="H690" s="29" t="s">
        <v>11</v>
      </c>
    </row>
    <row r="691" spans="1:8">
      <c r="A691" s="29" t="s">
        <v>226</v>
      </c>
      <c r="B691" s="82">
        <v>3</v>
      </c>
      <c r="C691" s="30" t="s">
        <v>49</v>
      </c>
      <c r="D691" s="29">
        <v>850</v>
      </c>
      <c r="E691" s="29" t="s">
        <v>11</v>
      </c>
      <c r="F691" s="83">
        <f t="shared" si="16"/>
        <v>2550</v>
      </c>
      <c r="G691" s="9" t="s">
        <v>11</v>
      </c>
      <c r="H691" s="29" t="s">
        <v>11</v>
      </c>
    </row>
    <row r="692" spans="1:8">
      <c r="A692" s="29" t="s">
        <v>274</v>
      </c>
      <c r="B692" s="82">
        <v>1</v>
      </c>
      <c r="C692" s="30" t="s">
        <v>49</v>
      </c>
      <c r="D692" s="9">
        <v>10125</v>
      </c>
      <c r="E692" s="29" t="s">
        <v>11</v>
      </c>
      <c r="F692" s="83">
        <f t="shared" si="16"/>
        <v>10125</v>
      </c>
      <c r="G692" s="9" t="s">
        <v>11</v>
      </c>
      <c r="H692" s="29" t="s">
        <v>11</v>
      </c>
    </row>
    <row r="693" spans="1:8">
      <c r="A693" s="29" t="s">
        <v>68</v>
      </c>
      <c r="B693" s="87">
        <v>0.12</v>
      </c>
      <c r="C693" s="30" t="s">
        <v>69</v>
      </c>
      <c r="D693" s="9">
        <v>170000</v>
      </c>
      <c r="E693" s="29" t="s">
        <v>11</v>
      </c>
      <c r="F693" s="29" t="s">
        <v>11</v>
      </c>
      <c r="G693" s="9">
        <f>B693*D693</f>
        <v>20400</v>
      </c>
      <c r="H693" s="29" t="s">
        <v>11</v>
      </c>
    </row>
    <row r="694" spans="1:8">
      <c r="A694" s="76" t="s">
        <v>70</v>
      </c>
      <c r="B694" s="85">
        <f>ROUND((SUM(E694:H694)),0)</f>
        <v>58555</v>
      </c>
      <c r="C694" s="78" t="s">
        <v>73</v>
      </c>
      <c r="D694" s="86"/>
      <c r="E694" s="80">
        <f>SUM(E687:E693)</f>
        <v>0</v>
      </c>
      <c r="F694" s="80">
        <f>SUM(F687:F693)</f>
        <v>38155</v>
      </c>
      <c r="G694" s="80">
        <f>SUM(G687:G693)</f>
        <v>20400</v>
      </c>
      <c r="H694" s="80">
        <f>SUM(H687:H693)</f>
        <v>0</v>
      </c>
    </row>
    <row r="695" spans="1:8">
      <c r="A695" s="122"/>
      <c r="B695" s="123"/>
      <c r="C695" s="124"/>
      <c r="D695" s="125"/>
      <c r="E695" s="126"/>
      <c r="F695" s="126"/>
      <c r="G695" s="126"/>
      <c r="H695" s="126"/>
    </row>
    <row r="696" spans="1:8">
      <c r="A696" s="63" t="s">
        <v>275</v>
      </c>
    </row>
    <row r="697" spans="1:8">
      <c r="A697" s="63"/>
      <c r="E697" s="68" t="s">
        <v>61</v>
      </c>
      <c r="F697" s="68" t="s">
        <v>62</v>
      </c>
      <c r="G697" s="68" t="s">
        <v>63</v>
      </c>
      <c r="H697" s="68" t="s">
        <v>64</v>
      </c>
    </row>
    <row r="698" spans="1:8">
      <c r="A698" s="29" t="s">
        <v>232</v>
      </c>
      <c r="B698" s="82">
        <v>1</v>
      </c>
      <c r="C698" s="30" t="s">
        <v>49</v>
      </c>
      <c r="D698" s="9">
        <v>1200</v>
      </c>
      <c r="E698" s="29" t="s">
        <v>11</v>
      </c>
      <c r="F698" s="83">
        <f t="shared" ref="F698:F703" si="17">B698*D698</f>
        <v>1200</v>
      </c>
      <c r="G698" s="9" t="s">
        <v>11</v>
      </c>
      <c r="H698" s="29" t="s">
        <v>11</v>
      </c>
    </row>
    <row r="699" spans="1:8">
      <c r="A699" s="29" t="s">
        <v>276</v>
      </c>
      <c r="B699" s="82">
        <v>18</v>
      </c>
      <c r="C699" s="30" t="s">
        <v>66</v>
      </c>
      <c r="D699" s="9">
        <v>255</v>
      </c>
      <c r="E699" s="29" t="s">
        <v>11</v>
      </c>
      <c r="F699" s="83">
        <f t="shared" si="17"/>
        <v>4590</v>
      </c>
      <c r="G699" s="9" t="s">
        <v>11</v>
      </c>
      <c r="H699" s="29" t="s">
        <v>11</v>
      </c>
    </row>
    <row r="700" spans="1:8">
      <c r="A700" s="29" t="s">
        <v>197</v>
      </c>
      <c r="B700" s="82">
        <v>6</v>
      </c>
      <c r="C700" s="30" t="s">
        <v>66</v>
      </c>
      <c r="D700" s="29">
        <v>700</v>
      </c>
      <c r="E700" s="29" t="s">
        <v>11</v>
      </c>
      <c r="F700" s="83">
        <f t="shared" si="17"/>
        <v>4200</v>
      </c>
      <c r="G700" s="9" t="s">
        <v>11</v>
      </c>
      <c r="H700" s="29" t="s">
        <v>11</v>
      </c>
    </row>
    <row r="701" spans="1:8">
      <c r="A701" s="29" t="s">
        <v>225</v>
      </c>
      <c r="B701" s="82">
        <v>2</v>
      </c>
      <c r="C701" s="30" t="s">
        <v>49</v>
      </c>
      <c r="D701" s="29">
        <v>190</v>
      </c>
      <c r="E701" s="29" t="s">
        <v>11</v>
      </c>
      <c r="F701" s="83">
        <f t="shared" si="17"/>
        <v>380</v>
      </c>
      <c r="G701" s="9" t="s">
        <v>11</v>
      </c>
      <c r="H701" s="29" t="s">
        <v>11</v>
      </c>
    </row>
    <row r="702" spans="1:8">
      <c r="A702" s="29" t="s">
        <v>226</v>
      </c>
      <c r="B702" s="82">
        <v>3</v>
      </c>
      <c r="C702" s="30" t="s">
        <v>49</v>
      </c>
      <c r="D702" s="29">
        <v>850</v>
      </c>
      <c r="E702" s="29" t="s">
        <v>11</v>
      </c>
      <c r="F702" s="83">
        <f t="shared" si="17"/>
        <v>2550</v>
      </c>
      <c r="G702" s="9" t="s">
        <v>11</v>
      </c>
      <c r="H702" s="29" t="s">
        <v>11</v>
      </c>
    </row>
    <row r="703" spans="1:8">
      <c r="A703" s="29" t="s">
        <v>277</v>
      </c>
      <c r="B703" s="82">
        <v>1</v>
      </c>
      <c r="C703" s="30" t="s">
        <v>49</v>
      </c>
      <c r="D703" s="9">
        <v>10000</v>
      </c>
      <c r="E703" s="29" t="s">
        <v>11</v>
      </c>
      <c r="F703" s="83">
        <f t="shared" si="17"/>
        <v>10000</v>
      </c>
      <c r="G703" s="9" t="s">
        <v>11</v>
      </c>
      <c r="H703" s="29" t="s">
        <v>11</v>
      </c>
    </row>
    <row r="704" spans="1:8">
      <c r="A704" s="29" t="s">
        <v>68</v>
      </c>
      <c r="B704" s="87">
        <v>0.10589999999999999</v>
      </c>
      <c r="C704" s="30" t="s">
        <v>69</v>
      </c>
      <c r="D704" s="9">
        <v>170000</v>
      </c>
      <c r="E704" s="29" t="s">
        <v>11</v>
      </c>
      <c r="F704" s="29" t="s">
        <v>11</v>
      </c>
      <c r="G704" s="9">
        <f>B704*D704</f>
        <v>18003</v>
      </c>
      <c r="H704" s="29" t="s">
        <v>11</v>
      </c>
    </row>
    <row r="705" spans="1:8">
      <c r="A705" s="76" t="s">
        <v>70</v>
      </c>
      <c r="B705" s="85">
        <f>ROUND((SUM(E705:H705)),0)</f>
        <v>40923</v>
      </c>
      <c r="C705" s="78" t="s">
        <v>73</v>
      </c>
      <c r="D705" s="86"/>
      <c r="E705" s="80">
        <f>SUM(E698:E704)</f>
        <v>0</v>
      </c>
      <c r="F705" s="80">
        <f>SUM(F698:F704)</f>
        <v>22920</v>
      </c>
      <c r="G705" s="80">
        <f>SUM(G698:G704)</f>
        <v>18003</v>
      </c>
      <c r="H705" s="80">
        <f>SUM(H698:H704)</f>
        <v>0</v>
      </c>
    </row>
    <row r="706" spans="1:8">
      <c r="A706" s="122"/>
      <c r="B706" s="123"/>
      <c r="C706" s="124"/>
      <c r="D706" s="125"/>
      <c r="E706" s="126"/>
      <c r="F706" s="126"/>
      <c r="G706" s="126"/>
      <c r="H706" s="126"/>
    </row>
    <row r="707" spans="1:8">
      <c r="A707" s="63" t="s">
        <v>278</v>
      </c>
    </row>
    <row r="708" spans="1:8">
      <c r="A708" s="63"/>
      <c r="E708" s="68" t="s">
        <v>61</v>
      </c>
      <c r="F708" s="68" t="s">
        <v>62</v>
      </c>
      <c r="G708" s="68" t="s">
        <v>63</v>
      </c>
      <c r="H708" s="68" t="s">
        <v>64</v>
      </c>
    </row>
    <row r="709" spans="1:8">
      <c r="A709" s="29" t="s">
        <v>232</v>
      </c>
      <c r="B709" s="82">
        <v>1</v>
      </c>
      <c r="C709" s="30" t="s">
        <v>49</v>
      </c>
      <c r="D709" s="9">
        <v>1200</v>
      </c>
      <c r="E709" s="29" t="s">
        <v>11</v>
      </c>
      <c r="F709" s="83">
        <f>B709*D709</f>
        <v>1200</v>
      </c>
      <c r="G709" s="9" t="s">
        <v>11</v>
      </c>
      <c r="H709" s="29" t="s">
        <v>11</v>
      </c>
    </row>
    <row r="710" spans="1:8">
      <c r="A710" s="29" t="s">
        <v>197</v>
      </c>
      <c r="B710" s="82">
        <v>3</v>
      </c>
      <c r="C710" s="30" t="s">
        <v>66</v>
      </c>
      <c r="D710" s="29">
        <v>700</v>
      </c>
      <c r="E710" s="29" t="s">
        <v>11</v>
      </c>
      <c r="F710" s="83">
        <f>B710*D710</f>
        <v>2100</v>
      </c>
      <c r="G710" s="9" t="s">
        <v>11</v>
      </c>
      <c r="H710" s="29" t="s">
        <v>11</v>
      </c>
    </row>
    <row r="711" spans="1:8">
      <c r="A711" s="29" t="s">
        <v>225</v>
      </c>
      <c r="B711" s="82">
        <v>2</v>
      </c>
      <c r="C711" s="30" t="s">
        <v>49</v>
      </c>
      <c r="D711" s="29">
        <v>190</v>
      </c>
      <c r="E711" s="29" t="s">
        <v>11</v>
      </c>
      <c r="F711" s="83">
        <f>B711*D711</f>
        <v>380</v>
      </c>
      <c r="G711" s="9" t="s">
        <v>11</v>
      </c>
      <c r="H711" s="29" t="s">
        <v>11</v>
      </c>
    </row>
    <row r="712" spans="1:8">
      <c r="A712" s="29" t="s">
        <v>68</v>
      </c>
      <c r="B712" s="91">
        <v>7.0599999999999996E-2</v>
      </c>
      <c r="C712" s="30" t="s">
        <v>69</v>
      </c>
      <c r="D712" s="9">
        <v>170000</v>
      </c>
      <c r="E712" s="29" t="s">
        <v>11</v>
      </c>
      <c r="F712" s="29" t="s">
        <v>11</v>
      </c>
      <c r="G712" s="9">
        <f>B712*D712</f>
        <v>12002</v>
      </c>
      <c r="H712" s="29" t="s">
        <v>11</v>
      </c>
    </row>
    <row r="713" spans="1:8">
      <c r="A713" s="76" t="s">
        <v>70</v>
      </c>
      <c r="B713" s="85">
        <f>ROUND((SUM(E713:H713)),0)</f>
        <v>15682</v>
      </c>
      <c r="C713" s="78" t="s">
        <v>73</v>
      </c>
      <c r="D713" s="86"/>
      <c r="E713" s="80">
        <f>SUM(E709:E712)</f>
        <v>0</v>
      </c>
      <c r="F713" s="80">
        <f>SUM(F709:F712)</f>
        <v>3680</v>
      </c>
      <c r="G713" s="80">
        <f>SUM(G709:G712)</f>
        <v>12002</v>
      </c>
      <c r="H713" s="80">
        <f>SUM(H709:H712)</f>
        <v>0</v>
      </c>
    </row>
    <row r="714" spans="1:8">
      <c r="A714" s="122"/>
      <c r="B714" s="123"/>
      <c r="C714" s="124"/>
      <c r="D714" s="125"/>
      <c r="E714" s="126"/>
      <c r="F714" s="126"/>
      <c r="G714" s="126"/>
      <c r="H714" s="126"/>
    </row>
    <row r="715" spans="1:8" s="50" customFormat="1">
      <c r="A715" s="63" t="s">
        <v>279</v>
      </c>
      <c r="B715" s="64"/>
      <c r="C715" s="65"/>
      <c r="D715" s="66"/>
      <c r="E715" s="64"/>
      <c r="F715" s="64"/>
      <c r="G715" s="64"/>
      <c r="H715" s="64"/>
    </row>
    <row r="716" spans="1:8" s="50" customFormat="1">
      <c r="A716" s="63"/>
      <c r="B716" s="64"/>
      <c r="C716" s="65"/>
      <c r="D716" s="66"/>
      <c r="E716" s="68" t="s">
        <v>61</v>
      </c>
      <c r="F716" s="68" t="s">
        <v>62</v>
      </c>
      <c r="G716" s="68" t="s">
        <v>63</v>
      </c>
      <c r="H716" s="68" t="s">
        <v>64</v>
      </c>
    </row>
    <row r="717" spans="1:8" s="50" customFormat="1">
      <c r="A717" s="6" t="s">
        <v>52</v>
      </c>
      <c r="B717" s="115">
        <v>1</v>
      </c>
      <c r="C717" s="27" t="s">
        <v>49</v>
      </c>
      <c r="D717" s="8">
        <v>200000</v>
      </c>
      <c r="E717" s="6" t="s">
        <v>11</v>
      </c>
      <c r="F717" s="6">
        <f>B717*D717</f>
        <v>200000</v>
      </c>
      <c r="G717" s="8" t="s">
        <v>11</v>
      </c>
      <c r="H717" s="127"/>
    </row>
    <row r="718" spans="1:8" s="50" customFormat="1">
      <c r="A718" s="129" t="s">
        <v>70</v>
      </c>
      <c r="B718" s="85">
        <f>ROUND((SUM(E718:H718)),0)</f>
        <v>200000</v>
      </c>
      <c r="C718" s="130" t="s">
        <v>73</v>
      </c>
      <c r="D718" s="131"/>
      <c r="E718" s="132">
        <f>SUM(E717:E717)</f>
        <v>0</v>
      </c>
      <c r="F718" s="132">
        <f>SUM(F717:F717)</f>
        <v>200000</v>
      </c>
      <c r="G718" s="132">
        <f>SUM(G717:G717)</f>
        <v>0</v>
      </c>
      <c r="H718" s="132">
        <f>SUM(H717:H717)</f>
        <v>0</v>
      </c>
    </row>
    <row r="719" spans="1:8">
      <c r="A719" s="122"/>
      <c r="B719" s="123"/>
      <c r="C719" s="124"/>
      <c r="D719" s="125"/>
      <c r="E719" s="126"/>
      <c r="F719" s="126"/>
      <c r="G719" s="126"/>
      <c r="H719" s="126"/>
    </row>
    <row r="720" spans="1:8">
      <c r="A720" s="63" t="s">
        <v>280</v>
      </c>
    </row>
    <row r="721" spans="1:8">
      <c r="A721" s="63"/>
      <c r="E721" s="68" t="s">
        <v>61</v>
      </c>
      <c r="F721" s="68" t="s">
        <v>62</v>
      </c>
      <c r="G721" s="68" t="s">
        <v>63</v>
      </c>
      <c r="H721" s="68" t="s">
        <v>64</v>
      </c>
    </row>
    <row r="722" spans="1:8">
      <c r="A722" s="29" t="s">
        <v>261</v>
      </c>
      <c r="B722" s="82">
        <v>2</v>
      </c>
      <c r="C722" s="30" t="s">
        <v>66</v>
      </c>
      <c r="D722" s="9">
        <v>2900</v>
      </c>
      <c r="E722" s="29" t="s">
        <v>11</v>
      </c>
      <c r="F722" s="83">
        <f>B722*D722</f>
        <v>5800</v>
      </c>
      <c r="G722" s="9" t="s">
        <v>11</v>
      </c>
      <c r="H722" s="29" t="s">
        <v>11</v>
      </c>
    </row>
    <row r="723" spans="1:8">
      <c r="A723" s="29" t="s">
        <v>126</v>
      </c>
      <c r="B723" s="82">
        <v>1</v>
      </c>
      <c r="C723" s="30" t="s">
        <v>66</v>
      </c>
      <c r="D723" s="9">
        <v>500</v>
      </c>
      <c r="E723" s="29" t="s">
        <v>11</v>
      </c>
      <c r="F723" s="83">
        <f>B723*D723</f>
        <v>500</v>
      </c>
      <c r="G723" s="9" t="s">
        <v>11</v>
      </c>
      <c r="H723" s="29" t="s">
        <v>11</v>
      </c>
    </row>
    <row r="724" spans="1:8">
      <c r="A724" s="29" t="s">
        <v>68</v>
      </c>
      <c r="B724" s="87">
        <v>2.35E-2</v>
      </c>
      <c r="C724" s="30" t="s">
        <v>69</v>
      </c>
      <c r="D724" s="9">
        <v>170000</v>
      </c>
      <c r="E724" s="29" t="s">
        <v>11</v>
      </c>
      <c r="F724" s="83"/>
      <c r="G724" s="9">
        <f>B724*D724</f>
        <v>3995</v>
      </c>
      <c r="H724" s="29" t="s">
        <v>11</v>
      </c>
    </row>
    <row r="725" spans="1:8">
      <c r="A725" s="76" t="s">
        <v>70</v>
      </c>
      <c r="B725" s="85">
        <f>ROUND((SUM(E725:H725)),0)</f>
        <v>10295</v>
      </c>
      <c r="C725" s="78" t="s">
        <v>71</v>
      </c>
      <c r="D725" s="86"/>
      <c r="E725" s="80">
        <f>SUM(E722:E724)</f>
        <v>0</v>
      </c>
      <c r="F725" s="80">
        <f>SUM(F722:F724)</f>
        <v>6300</v>
      </c>
      <c r="G725" s="80">
        <f>SUM(G722:G724)</f>
        <v>3995</v>
      </c>
      <c r="H725" s="80">
        <f>SUM(H722:H724)</f>
        <v>0</v>
      </c>
    </row>
    <row r="727" spans="1:8">
      <c r="A727" s="63" t="s">
        <v>281</v>
      </c>
    </row>
    <row r="728" spans="1:8">
      <c r="A728" s="63"/>
      <c r="E728" s="68" t="s">
        <v>61</v>
      </c>
      <c r="F728" s="68" t="s">
        <v>62</v>
      </c>
      <c r="G728" s="68" t="s">
        <v>63</v>
      </c>
      <c r="H728" s="68" t="s">
        <v>64</v>
      </c>
    </row>
    <row r="729" spans="1:8">
      <c r="A729" s="29" t="s">
        <v>282</v>
      </c>
      <c r="B729" s="82">
        <v>7</v>
      </c>
      <c r="C729" s="30" t="s">
        <v>66</v>
      </c>
      <c r="D729" s="9">
        <v>2650</v>
      </c>
      <c r="E729" s="29" t="s">
        <v>11</v>
      </c>
      <c r="F729" s="83">
        <f>B729*D729</f>
        <v>18550</v>
      </c>
      <c r="G729" s="9" t="s">
        <v>11</v>
      </c>
      <c r="H729" s="29" t="s">
        <v>11</v>
      </c>
    </row>
    <row r="730" spans="1:8">
      <c r="A730" s="29" t="s">
        <v>126</v>
      </c>
      <c r="B730" s="82">
        <v>1</v>
      </c>
      <c r="C730" s="30" t="s">
        <v>66</v>
      </c>
      <c r="D730" s="9">
        <v>500</v>
      </c>
      <c r="E730" s="29" t="s">
        <v>11</v>
      </c>
      <c r="F730" s="83">
        <f>B730*D730</f>
        <v>500</v>
      </c>
      <c r="G730" s="9" t="s">
        <v>11</v>
      </c>
      <c r="H730" s="29" t="s">
        <v>11</v>
      </c>
    </row>
    <row r="731" spans="1:8">
      <c r="A731" s="29" t="s">
        <v>68</v>
      </c>
      <c r="B731" s="87">
        <v>5.883E-2</v>
      </c>
      <c r="C731" s="30" t="s">
        <v>69</v>
      </c>
      <c r="D731" s="9">
        <v>170000</v>
      </c>
      <c r="E731" s="29" t="s">
        <v>11</v>
      </c>
      <c r="F731" s="83"/>
      <c r="G731" s="9">
        <f>B731*D731</f>
        <v>10001.1</v>
      </c>
      <c r="H731" s="29" t="s">
        <v>11</v>
      </c>
    </row>
    <row r="732" spans="1:8">
      <c r="A732" s="76" t="s">
        <v>70</v>
      </c>
      <c r="B732" s="85">
        <f>ROUND((SUM(E732:H732)),0)</f>
        <v>29051</v>
      </c>
      <c r="C732" s="78" t="s">
        <v>71</v>
      </c>
      <c r="D732" s="86"/>
      <c r="E732" s="80">
        <f>SUM(E729:E731)</f>
        <v>0</v>
      </c>
      <c r="F732" s="80">
        <f>SUM(F729:F731)</f>
        <v>19050</v>
      </c>
      <c r="G732" s="80">
        <f>SUM(G729:G731)</f>
        <v>10001.1</v>
      </c>
      <c r="H732" s="80">
        <f>SUM(H729:H731)</f>
        <v>0</v>
      </c>
    </row>
    <row r="734" spans="1:8">
      <c r="A734" s="63" t="s">
        <v>283</v>
      </c>
    </row>
    <row r="735" spans="1:8">
      <c r="A735" s="63"/>
      <c r="E735" s="68" t="s">
        <v>61</v>
      </c>
      <c r="F735" s="68" t="s">
        <v>62</v>
      </c>
      <c r="G735" s="68" t="s">
        <v>63</v>
      </c>
      <c r="H735" s="68" t="s">
        <v>64</v>
      </c>
    </row>
    <row r="736" spans="1:8">
      <c r="A736" s="29" t="s">
        <v>282</v>
      </c>
      <c r="B736" s="82">
        <v>4</v>
      </c>
      <c r="C736" s="30" t="s">
        <v>66</v>
      </c>
      <c r="D736" s="9">
        <v>2650</v>
      </c>
      <c r="E736" s="29" t="s">
        <v>11</v>
      </c>
      <c r="F736" s="83">
        <f>B736*D736</f>
        <v>10600</v>
      </c>
      <c r="G736" s="9" t="s">
        <v>11</v>
      </c>
      <c r="H736" s="29" t="s">
        <v>11</v>
      </c>
    </row>
    <row r="737" spans="1:8">
      <c r="A737" s="29" t="s">
        <v>126</v>
      </c>
      <c r="B737" s="82">
        <v>1</v>
      </c>
      <c r="C737" s="30" t="s">
        <v>66</v>
      </c>
      <c r="D737" s="9">
        <v>500</v>
      </c>
      <c r="E737" s="29" t="s">
        <v>11</v>
      </c>
      <c r="F737" s="83">
        <f>B737*D737</f>
        <v>500</v>
      </c>
      <c r="G737" s="9" t="s">
        <v>11</v>
      </c>
      <c r="H737" s="29" t="s">
        <v>11</v>
      </c>
    </row>
    <row r="738" spans="1:8">
      <c r="A738" s="29" t="s">
        <v>68</v>
      </c>
      <c r="B738" s="87">
        <v>5.883E-2</v>
      </c>
      <c r="C738" s="30" t="s">
        <v>69</v>
      </c>
      <c r="D738" s="9">
        <v>170000</v>
      </c>
      <c r="E738" s="29" t="s">
        <v>11</v>
      </c>
      <c r="F738" s="83"/>
      <c r="G738" s="9">
        <f>B738*D738</f>
        <v>10001.1</v>
      </c>
      <c r="H738" s="29" t="s">
        <v>11</v>
      </c>
    </row>
    <row r="739" spans="1:8">
      <c r="A739" s="76" t="s">
        <v>70</v>
      </c>
      <c r="B739" s="85">
        <f>ROUND((SUM(E739:H739)),0)</f>
        <v>21101</v>
      </c>
      <c r="C739" s="78" t="s">
        <v>71</v>
      </c>
      <c r="D739" s="86"/>
      <c r="E739" s="80">
        <f>SUM(E736:E738)</f>
        <v>0</v>
      </c>
      <c r="F739" s="80">
        <f>SUM(F736:F738)</f>
        <v>11100</v>
      </c>
      <c r="G739" s="80">
        <f>SUM(G736:G738)</f>
        <v>10001.1</v>
      </c>
      <c r="H739" s="80">
        <f>SUM(H736:H738)</f>
        <v>0</v>
      </c>
    </row>
    <row r="741" spans="1:8">
      <c r="A741" s="63" t="s">
        <v>284</v>
      </c>
    </row>
    <row r="742" spans="1:8">
      <c r="A742" s="63"/>
      <c r="E742" s="68" t="s">
        <v>61</v>
      </c>
      <c r="F742" s="68" t="s">
        <v>62</v>
      </c>
      <c r="G742" s="68" t="s">
        <v>63</v>
      </c>
      <c r="H742" s="68" t="s">
        <v>64</v>
      </c>
    </row>
    <row r="743" spans="1:8">
      <c r="A743" s="29" t="s">
        <v>261</v>
      </c>
      <c r="B743" s="82">
        <v>3</v>
      </c>
      <c r="C743" s="30" t="s">
        <v>66</v>
      </c>
      <c r="D743" s="9">
        <v>2900</v>
      </c>
      <c r="E743" s="29" t="s">
        <v>11</v>
      </c>
      <c r="F743" s="83">
        <f>B743*D743</f>
        <v>8700</v>
      </c>
      <c r="G743" s="9" t="s">
        <v>11</v>
      </c>
      <c r="H743" s="29" t="s">
        <v>11</v>
      </c>
    </row>
    <row r="744" spans="1:8">
      <c r="A744" s="29" t="s">
        <v>126</v>
      </c>
      <c r="B744" s="82">
        <v>1</v>
      </c>
      <c r="C744" s="30" t="s">
        <v>66</v>
      </c>
      <c r="D744" s="9">
        <v>300</v>
      </c>
      <c r="E744" s="29" t="s">
        <v>11</v>
      </c>
      <c r="F744" s="83">
        <f>B744*D744</f>
        <v>300</v>
      </c>
      <c r="G744" s="9" t="s">
        <v>11</v>
      </c>
      <c r="H744" s="29" t="s">
        <v>11</v>
      </c>
    </row>
    <row r="745" spans="1:8">
      <c r="A745" s="29" t="s">
        <v>68</v>
      </c>
      <c r="B745" s="87">
        <v>3.2399999999999998E-2</v>
      </c>
      <c r="C745" s="30" t="s">
        <v>69</v>
      </c>
      <c r="D745" s="9">
        <v>170000</v>
      </c>
      <c r="E745" s="29" t="s">
        <v>11</v>
      </c>
      <c r="F745" s="83"/>
      <c r="G745" s="9">
        <f>B745*D745</f>
        <v>5508</v>
      </c>
      <c r="H745" s="29" t="s">
        <v>11</v>
      </c>
    </row>
    <row r="746" spans="1:8">
      <c r="A746" s="76" t="s">
        <v>70</v>
      </c>
      <c r="B746" s="85">
        <f>ROUND((SUM(E746:H746)),0)</f>
        <v>14508</v>
      </c>
      <c r="C746" s="78" t="s">
        <v>71</v>
      </c>
      <c r="D746" s="86"/>
      <c r="E746" s="80">
        <f>SUM(E743:E745)</f>
        <v>0</v>
      </c>
      <c r="F746" s="80">
        <f>SUM(F743:F745)</f>
        <v>9000</v>
      </c>
      <c r="G746" s="80">
        <f>SUM(G743:G745)</f>
        <v>5508</v>
      </c>
      <c r="H746" s="80">
        <f>SUM(H743:H745)</f>
        <v>0</v>
      </c>
    </row>
    <row r="748" spans="1:8">
      <c r="A748" s="63" t="s">
        <v>285</v>
      </c>
    </row>
    <row r="749" spans="1:8">
      <c r="A749" s="63"/>
      <c r="E749" s="68" t="s">
        <v>61</v>
      </c>
      <c r="F749" s="68" t="s">
        <v>62</v>
      </c>
      <c r="G749" s="68" t="s">
        <v>63</v>
      </c>
      <c r="H749" s="68" t="s">
        <v>64</v>
      </c>
    </row>
    <row r="750" spans="1:8">
      <c r="A750" s="29" t="s">
        <v>186</v>
      </c>
      <c r="B750" s="82">
        <v>1</v>
      </c>
      <c r="C750" s="30" t="s">
        <v>66</v>
      </c>
      <c r="D750" s="9">
        <v>1200</v>
      </c>
      <c r="E750" s="29" t="s">
        <v>11</v>
      </c>
      <c r="F750" s="83">
        <f>B750*D750</f>
        <v>1200</v>
      </c>
      <c r="G750" s="9" t="s">
        <v>11</v>
      </c>
      <c r="H750" s="29" t="s">
        <v>11</v>
      </c>
    </row>
    <row r="751" spans="1:8">
      <c r="A751" s="29" t="s">
        <v>126</v>
      </c>
      <c r="B751" s="82">
        <v>1</v>
      </c>
      <c r="C751" s="30" t="s">
        <v>66</v>
      </c>
      <c r="D751" s="9">
        <v>200</v>
      </c>
      <c r="E751" s="29" t="s">
        <v>11</v>
      </c>
      <c r="F751" s="83">
        <f>B751*D751</f>
        <v>200</v>
      </c>
      <c r="G751" s="9" t="s">
        <v>11</v>
      </c>
      <c r="H751" s="29" t="s">
        <v>11</v>
      </c>
    </row>
    <row r="752" spans="1:8">
      <c r="A752" s="29" t="s">
        <v>68</v>
      </c>
      <c r="B752" s="91">
        <v>5.8999999999999999E-3</v>
      </c>
      <c r="C752" s="30" t="s">
        <v>69</v>
      </c>
      <c r="D752" s="9">
        <v>170000</v>
      </c>
      <c r="E752" s="29" t="s">
        <v>11</v>
      </c>
      <c r="F752" s="83"/>
      <c r="G752" s="9">
        <f>B752*D752</f>
        <v>1003</v>
      </c>
      <c r="H752" s="29" t="s">
        <v>11</v>
      </c>
    </row>
    <row r="753" spans="1:8">
      <c r="A753" s="76" t="s">
        <v>70</v>
      </c>
      <c r="B753" s="85">
        <f>ROUND((SUM(E753:H753)),0)</f>
        <v>2403</v>
      </c>
      <c r="C753" s="78" t="s">
        <v>71</v>
      </c>
      <c r="D753" s="86"/>
      <c r="E753" s="80">
        <f>SUM(E750:E752)</f>
        <v>0</v>
      </c>
      <c r="F753" s="80">
        <f>SUM(F750:F752)</f>
        <v>1400</v>
      </c>
      <c r="G753" s="80">
        <f>SUM(G750:G752)</f>
        <v>1003</v>
      </c>
      <c r="H753" s="80">
        <f>SUM(H750:H752)</f>
        <v>0</v>
      </c>
    </row>
    <row r="755" spans="1:8">
      <c r="A755" s="63" t="s">
        <v>286</v>
      </c>
    </row>
    <row r="756" spans="1:8">
      <c r="A756" s="63"/>
      <c r="E756" s="68" t="s">
        <v>61</v>
      </c>
      <c r="F756" s="68" t="s">
        <v>62</v>
      </c>
      <c r="G756" s="68" t="s">
        <v>63</v>
      </c>
      <c r="H756" s="68" t="s">
        <v>64</v>
      </c>
    </row>
    <row r="757" spans="1:8">
      <c r="A757" s="29" t="s">
        <v>282</v>
      </c>
      <c r="B757" s="82">
        <v>2</v>
      </c>
      <c r="C757" s="30" t="s">
        <v>66</v>
      </c>
      <c r="D757" s="9">
        <v>2650</v>
      </c>
      <c r="E757" s="29" t="s">
        <v>11</v>
      </c>
      <c r="F757" s="83">
        <f>B757*D757</f>
        <v>5300</v>
      </c>
      <c r="G757" s="9" t="s">
        <v>11</v>
      </c>
      <c r="H757" s="29" t="s">
        <v>11</v>
      </c>
    </row>
    <row r="758" spans="1:8">
      <c r="A758" s="29" t="s">
        <v>126</v>
      </c>
      <c r="B758" s="82">
        <v>1</v>
      </c>
      <c r="C758" s="30" t="s">
        <v>75</v>
      </c>
      <c r="D758" s="9">
        <v>300</v>
      </c>
      <c r="E758" s="29" t="s">
        <v>11</v>
      </c>
      <c r="F758" s="83">
        <f>B758*D758</f>
        <v>300</v>
      </c>
      <c r="G758" s="9" t="s">
        <v>11</v>
      </c>
      <c r="H758" s="29" t="s">
        <v>11</v>
      </c>
    </row>
    <row r="759" spans="1:8">
      <c r="A759" s="29" t="s">
        <v>68</v>
      </c>
      <c r="B759" s="91">
        <v>2.3599999999999999E-2</v>
      </c>
      <c r="C759" s="30" t="s">
        <v>69</v>
      </c>
      <c r="D759" s="9">
        <v>170000</v>
      </c>
      <c r="E759" s="29" t="s">
        <v>11</v>
      </c>
      <c r="F759" s="83"/>
      <c r="G759" s="9">
        <f>B759*D759</f>
        <v>4012</v>
      </c>
      <c r="H759" s="29" t="s">
        <v>11</v>
      </c>
    </row>
    <row r="760" spans="1:8">
      <c r="A760" s="76" t="s">
        <v>70</v>
      </c>
      <c r="B760" s="85">
        <f>ROUND((SUM(E760:H760)),0)</f>
        <v>9612</v>
      </c>
      <c r="C760" s="78" t="s">
        <v>71</v>
      </c>
      <c r="D760" s="86"/>
      <c r="E760" s="80">
        <f>SUM(E757:E759)</f>
        <v>0</v>
      </c>
      <c r="F760" s="80">
        <f>SUM(F757:F759)</f>
        <v>5600</v>
      </c>
      <c r="G760" s="80">
        <f>SUM(G757:G759)</f>
        <v>4012</v>
      </c>
      <c r="H760" s="80">
        <f>SUM(H757:H759)</f>
        <v>0</v>
      </c>
    </row>
    <row r="762" spans="1:8" s="50" customFormat="1">
      <c r="A762" s="63" t="s">
        <v>287</v>
      </c>
      <c r="B762" s="64"/>
      <c r="C762" s="65"/>
      <c r="D762" s="66"/>
      <c r="E762" s="64"/>
      <c r="F762" s="64"/>
      <c r="G762" s="64"/>
      <c r="H762" s="64"/>
    </row>
    <row r="763" spans="1:8" s="50" customFormat="1">
      <c r="A763" s="63"/>
      <c r="B763" s="64"/>
      <c r="C763" s="65"/>
      <c r="D763" s="66"/>
      <c r="E763" s="68" t="s">
        <v>61</v>
      </c>
      <c r="F763" s="68" t="s">
        <v>62</v>
      </c>
      <c r="G763" s="68" t="s">
        <v>63</v>
      </c>
      <c r="H763" s="68" t="s">
        <v>64</v>
      </c>
    </row>
    <row r="764" spans="1:8" s="50" customFormat="1">
      <c r="A764" s="6" t="s">
        <v>288</v>
      </c>
      <c r="B764" s="115">
        <v>1</v>
      </c>
      <c r="C764" s="27" t="s">
        <v>49</v>
      </c>
      <c r="D764" s="8">
        <v>250000</v>
      </c>
      <c r="E764" s="6" t="s">
        <v>11</v>
      </c>
      <c r="F764" s="6">
        <f>B764*D764</f>
        <v>250000</v>
      </c>
      <c r="G764" s="8" t="s">
        <v>11</v>
      </c>
      <c r="H764" s="127"/>
    </row>
    <row r="765" spans="1:8">
      <c r="A765" s="29" t="s">
        <v>68</v>
      </c>
      <c r="B765" s="84">
        <v>0.3</v>
      </c>
      <c r="C765" s="30" t="s">
        <v>69</v>
      </c>
      <c r="D765" s="9">
        <v>170000</v>
      </c>
      <c r="E765" s="29" t="s">
        <v>11</v>
      </c>
      <c r="F765" s="83"/>
      <c r="G765" s="9">
        <f>B765*D765</f>
        <v>51000</v>
      </c>
      <c r="H765" s="29" t="s">
        <v>11</v>
      </c>
    </row>
    <row r="766" spans="1:8" s="50" customFormat="1">
      <c r="A766" s="129" t="s">
        <v>70</v>
      </c>
      <c r="B766" s="85">
        <f>ROUND((SUM(E766:H766)),0)</f>
        <v>301000</v>
      </c>
      <c r="C766" s="130" t="s">
        <v>73</v>
      </c>
      <c r="D766" s="131"/>
      <c r="E766" s="132">
        <f>SUM(E764:E764)</f>
        <v>0</v>
      </c>
      <c r="F766" s="132">
        <f>SUM(F764:F764)</f>
        <v>250000</v>
      </c>
      <c r="G766" s="132">
        <f>SUM(G765)</f>
        <v>51000</v>
      </c>
      <c r="H766" s="132">
        <f>SUM(H764:H764)</f>
        <v>0</v>
      </c>
    </row>
    <row r="768" spans="1:8" s="50" customFormat="1">
      <c r="A768" s="63" t="s">
        <v>289</v>
      </c>
      <c r="B768" s="64"/>
      <c r="C768" s="65"/>
      <c r="D768" s="66"/>
      <c r="E768" s="64"/>
      <c r="F768" s="64"/>
      <c r="G768" s="64"/>
      <c r="H768" s="64"/>
    </row>
    <row r="769" spans="1:8" s="50" customFormat="1">
      <c r="A769" s="63"/>
      <c r="B769" s="64"/>
      <c r="C769" s="65"/>
      <c r="D769" s="66"/>
      <c r="E769" s="68" t="s">
        <v>61</v>
      </c>
      <c r="F769" s="68" t="s">
        <v>62</v>
      </c>
      <c r="G769" s="68" t="s">
        <v>63</v>
      </c>
      <c r="H769" s="68" t="s">
        <v>64</v>
      </c>
    </row>
    <row r="770" spans="1:8" s="50" customFormat="1">
      <c r="A770" s="6" t="s">
        <v>290</v>
      </c>
      <c r="B770" s="115">
        <v>1</v>
      </c>
      <c r="C770" s="27" t="s">
        <v>49</v>
      </c>
      <c r="D770" s="8">
        <v>60170</v>
      </c>
      <c r="E770" s="6" t="s">
        <v>11</v>
      </c>
      <c r="F770" s="6">
        <f>B770*D770</f>
        <v>60170</v>
      </c>
      <c r="G770" s="8" t="s">
        <v>11</v>
      </c>
      <c r="H770" s="127"/>
    </row>
    <row r="771" spans="1:8">
      <c r="A771" s="29" t="s">
        <v>68</v>
      </c>
      <c r="B771" s="91">
        <v>0.2059</v>
      </c>
      <c r="C771" s="30" t="s">
        <v>69</v>
      </c>
      <c r="D771" s="9">
        <v>170000</v>
      </c>
      <c r="E771" s="29" t="s">
        <v>11</v>
      </c>
      <c r="F771" s="83"/>
      <c r="G771" s="9">
        <f>B771*D771</f>
        <v>35003</v>
      </c>
      <c r="H771" s="29" t="s">
        <v>11</v>
      </c>
    </row>
    <row r="772" spans="1:8" s="50" customFormat="1">
      <c r="A772" s="129" t="s">
        <v>70</v>
      </c>
      <c r="B772" s="85">
        <f>ROUND((SUM(E772:H772)),0)</f>
        <v>95173</v>
      </c>
      <c r="C772" s="130" t="s">
        <v>73</v>
      </c>
      <c r="D772" s="131"/>
      <c r="E772" s="132">
        <f>SUM(E770:E770)</f>
        <v>0</v>
      </c>
      <c r="F772" s="132">
        <f>SUM(F770:F770)</f>
        <v>60170</v>
      </c>
      <c r="G772" s="132">
        <f>SUM(G771)</f>
        <v>35003</v>
      </c>
      <c r="H772" s="132">
        <f>SUM(H770:H770)</f>
        <v>0</v>
      </c>
    </row>
    <row r="774" spans="1:8" s="50" customFormat="1">
      <c r="A774" s="63" t="s">
        <v>291</v>
      </c>
      <c r="B774" s="64"/>
      <c r="C774" s="65"/>
      <c r="D774" s="66"/>
      <c r="E774" s="64"/>
      <c r="F774" s="64"/>
      <c r="G774" s="64"/>
      <c r="H774" s="64"/>
    </row>
    <row r="775" spans="1:8" s="50" customFormat="1">
      <c r="A775" s="63"/>
      <c r="B775" s="64"/>
      <c r="C775" s="65"/>
      <c r="D775" s="66"/>
      <c r="E775" s="68" t="s">
        <v>61</v>
      </c>
      <c r="F775" s="68" t="s">
        <v>62</v>
      </c>
      <c r="G775" s="68" t="s">
        <v>63</v>
      </c>
      <c r="H775" s="68" t="s">
        <v>64</v>
      </c>
    </row>
    <row r="776" spans="1:8" s="50" customFormat="1">
      <c r="A776" s="6" t="s">
        <v>292</v>
      </c>
      <c r="B776" s="115">
        <v>1</v>
      </c>
      <c r="C776" s="27" t="s">
        <v>49</v>
      </c>
      <c r="D776" s="8">
        <v>45000</v>
      </c>
      <c r="E776" s="6" t="s">
        <v>11</v>
      </c>
      <c r="F776" s="6">
        <f>B776*D776</f>
        <v>45000</v>
      </c>
      <c r="G776" s="8" t="s">
        <v>11</v>
      </c>
      <c r="H776" s="127"/>
    </row>
    <row r="777" spans="1:8">
      <c r="A777" s="29" t="s">
        <v>68</v>
      </c>
      <c r="B777" s="87">
        <v>0.1176</v>
      </c>
      <c r="C777" s="30" t="s">
        <v>69</v>
      </c>
      <c r="D777" s="9">
        <v>170000</v>
      </c>
      <c r="E777" s="29" t="s">
        <v>11</v>
      </c>
      <c r="F777" s="83"/>
      <c r="G777" s="9">
        <f>B777*D777</f>
        <v>19992</v>
      </c>
      <c r="H777" s="29" t="s">
        <v>11</v>
      </c>
    </row>
    <row r="778" spans="1:8" s="50" customFormat="1">
      <c r="A778" s="129" t="s">
        <v>70</v>
      </c>
      <c r="B778" s="85">
        <f>ROUND((SUM(E778:H778)),0)</f>
        <v>64992</v>
      </c>
      <c r="C778" s="130" t="s">
        <v>73</v>
      </c>
      <c r="D778" s="131"/>
      <c r="E778" s="132">
        <f>SUM(E776:E776)</f>
        <v>0</v>
      </c>
      <c r="F778" s="132">
        <f>SUM(F776:F776)</f>
        <v>45000</v>
      </c>
      <c r="G778" s="132">
        <f>SUM(G777)</f>
        <v>19992</v>
      </c>
      <c r="H778" s="132">
        <f>SUM(H776:H776)</f>
        <v>0</v>
      </c>
    </row>
    <row r="780" spans="1:8">
      <c r="A780" s="63" t="s">
        <v>293</v>
      </c>
    </row>
    <row r="781" spans="1:8">
      <c r="A781" s="63"/>
      <c r="E781" s="68" t="s">
        <v>61</v>
      </c>
      <c r="F781" s="68" t="s">
        <v>62</v>
      </c>
      <c r="G781" s="68" t="s">
        <v>63</v>
      </c>
      <c r="H781" s="68" t="s">
        <v>64</v>
      </c>
    </row>
    <row r="782" spans="1:8" s="121" customFormat="1" ht="14.25">
      <c r="A782" s="29" t="s">
        <v>294</v>
      </c>
      <c r="B782" s="82">
        <v>1</v>
      </c>
      <c r="C782" s="30" t="s">
        <v>8</v>
      </c>
      <c r="D782" s="9">
        <v>2000000</v>
      </c>
      <c r="E782" s="29" t="s">
        <v>11</v>
      </c>
      <c r="F782" s="83"/>
      <c r="G782" s="9" t="s">
        <v>11</v>
      </c>
      <c r="H782" s="29">
        <f>B782*D782</f>
        <v>2000000</v>
      </c>
    </row>
    <row r="783" spans="1:8">
      <c r="A783" s="76" t="s">
        <v>70</v>
      </c>
      <c r="B783" s="85">
        <f>ROUND((SUM(E783:H783)),0)</f>
        <v>2000000</v>
      </c>
      <c r="C783" s="78" t="s">
        <v>73</v>
      </c>
      <c r="D783" s="86"/>
      <c r="E783" s="80">
        <f>SUM(E782:E782)</f>
        <v>0</v>
      </c>
      <c r="F783" s="80">
        <f>SUM(F782:F782)</f>
        <v>0</v>
      </c>
      <c r="G783" s="80">
        <f>SUM(G782:G782)</f>
        <v>0</v>
      </c>
      <c r="H783" s="80">
        <f>SUM(H782:H782)</f>
        <v>2000000</v>
      </c>
    </row>
    <row r="786" spans="1:8">
      <c r="A786" s="63" t="s">
        <v>336</v>
      </c>
    </row>
    <row r="787" spans="1:8">
      <c r="A787" s="63"/>
      <c r="E787" s="68" t="s">
        <v>61</v>
      </c>
      <c r="F787" s="68" t="s">
        <v>62</v>
      </c>
      <c r="G787" s="68" t="s">
        <v>63</v>
      </c>
      <c r="H787" s="68" t="s">
        <v>64</v>
      </c>
    </row>
    <row r="788" spans="1:8">
      <c r="A788" s="29" t="s">
        <v>99</v>
      </c>
      <c r="B788" s="82">
        <v>3</v>
      </c>
      <c r="C788" s="30" t="s">
        <v>66</v>
      </c>
      <c r="D788" s="9">
        <v>2541</v>
      </c>
      <c r="E788" s="29" t="s">
        <v>11</v>
      </c>
      <c r="F788" s="83">
        <f>B788*D788</f>
        <v>7623</v>
      </c>
      <c r="G788" s="9" t="s">
        <v>11</v>
      </c>
      <c r="H788" s="29" t="s">
        <v>11</v>
      </c>
    </row>
    <row r="789" spans="1:8">
      <c r="A789" s="29" t="s">
        <v>190</v>
      </c>
      <c r="B789" s="82">
        <v>1</v>
      </c>
      <c r="C789" s="30" t="s">
        <v>66</v>
      </c>
      <c r="D789" s="9">
        <v>1713</v>
      </c>
      <c r="E789" s="29" t="s">
        <v>11</v>
      </c>
      <c r="F789" s="83">
        <f>B789*D789</f>
        <v>1713</v>
      </c>
      <c r="G789" s="9" t="s">
        <v>11</v>
      </c>
      <c r="H789" s="29" t="s">
        <v>11</v>
      </c>
    </row>
    <row r="790" spans="1:8">
      <c r="A790" s="29" t="s">
        <v>188</v>
      </c>
      <c r="B790" s="82">
        <v>1</v>
      </c>
      <c r="C790" s="30" t="s">
        <v>66</v>
      </c>
      <c r="D790" s="9">
        <v>1200</v>
      </c>
      <c r="E790" s="29" t="s">
        <v>11</v>
      </c>
      <c r="F790" s="83">
        <f>B790*D790</f>
        <v>1200</v>
      </c>
      <c r="G790" s="9" t="s">
        <v>11</v>
      </c>
      <c r="H790" s="29" t="s">
        <v>11</v>
      </c>
    </row>
    <row r="791" spans="1:8">
      <c r="A791" s="29" t="s">
        <v>68</v>
      </c>
      <c r="B791" s="87">
        <v>3.1E-2</v>
      </c>
      <c r="C791" s="30" t="s">
        <v>69</v>
      </c>
      <c r="D791" s="9">
        <v>170000</v>
      </c>
      <c r="E791" s="29" t="s">
        <v>11</v>
      </c>
      <c r="F791" s="83"/>
      <c r="G791" s="9">
        <f>B791*D791</f>
        <v>5270</v>
      </c>
      <c r="H791" s="29" t="s">
        <v>11</v>
      </c>
    </row>
    <row r="792" spans="1:8">
      <c r="A792" s="76" t="s">
        <v>70</v>
      </c>
      <c r="B792" s="85">
        <f>ROUND((SUM(E792:H792)),0)</f>
        <v>15806</v>
      </c>
      <c r="C792" s="78" t="s">
        <v>71</v>
      </c>
      <c r="D792" s="86"/>
      <c r="E792" s="80">
        <f>SUM(E788:E791)</f>
        <v>0</v>
      </c>
      <c r="F792" s="80">
        <f>SUM(F788:F791)</f>
        <v>10536</v>
      </c>
      <c r="G792" s="80">
        <f>SUM(G788:G791)</f>
        <v>5270</v>
      </c>
      <c r="H792" s="80">
        <f>SUM(H788:H791)</f>
        <v>0</v>
      </c>
    </row>
  </sheetData>
  <pageMargins left="0.74803149606299213" right="0.74803149606299213" top="0.98425196850393704" bottom="0.98425196850393704" header="0.51181102362204722" footer="0.51181102362204722"/>
  <pageSetup paperSize="122" scale="75" orientation="portrait" horizontalDpi="300" verticalDpi="300" r:id="rId1"/>
  <headerFooter>
    <oddHeader>&amp;L&amp;"Arial,Negrita"ANALISIS DE PRECIOS UNITARIOS
CONJUNTO SAUKARA - CFC &amp; A.</oddHeader>
    <oddFooter>&amp;C&amp;P de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M1080"/>
  <sheetViews>
    <sheetView topLeftCell="A939" workbookViewId="0">
      <selection activeCell="A952" sqref="A952:XFD956"/>
    </sheetView>
  </sheetViews>
  <sheetFormatPr baseColWidth="10" defaultRowHeight="14.25"/>
  <cols>
    <col min="1" max="1" width="47" customWidth="1"/>
    <col min="2" max="2" width="8.875" customWidth="1"/>
    <col min="3" max="3" width="5.625" customWidth="1"/>
    <col min="4" max="4" width="8.875" customWidth="1"/>
    <col min="5" max="5" width="7.125" customWidth="1"/>
    <col min="6" max="6" width="9.375" customWidth="1"/>
    <col min="7" max="7" width="8" customWidth="1"/>
    <col min="8" max="8" width="6.625" customWidth="1"/>
  </cols>
  <sheetData>
    <row r="1" spans="1:8" s="4" customFormat="1" ht="12.75" hidden="1">
      <c r="A1" s="63" t="s">
        <v>337</v>
      </c>
      <c r="B1" s="64"/>
      <c r="C1" s="65"/>
      <c r="D1" s="66"/>
      <c r="E1" s="64"/>
      <c r="F1" s="64"/>
      <c r="G1" s="64"/>
      <c r="H1" s="64"/>
    </row>
    <row r="2" spans="1:8" s="4" customFormat="1" ht="12.75" hidden="1">
      <c r="A2" s="63"/>
      <c r="B2" s="64"/>
      <c r="C2" s="65"/>
      <c r="D2" s="66"/>
      <c r="E2" s="68" t="s">
        <v>61</v>
      </c>
      <c r="F2" s="68" t="s">
        <v>62</v>
      </c>
      <c r="G2" s="68" t="s">
        <v>63</v>
      </c>
      <c r="H2" s="68" t="s">
        <v>64</v>
      </c>
    </row>
    <row r="3" spans="1:8" s="121" customFormat="1" hidden="1">
      <c r="A3" s="29" t="s">
        <v>338</v>
      </c>
      <c r="B3" s="82">
        <v>1</v>
      </c>
      <c r="C3" s="30" t="s">
        <v>8</v>
      </c>
      <c r="D3" s="157">
        <v>700000</v>
      </c>
      <c r="E3" s="29" t="s">
        <v>11</v>
      </c>
      <c r="F3" s="88">
        <f>B3*D3</f>
        <v>700000</v>
      </c>
      <c r="G3" s="9" t="s">
        <v>11</v>
      </c>
      <c r="H3" s="29" t="s">
        <v>11</v>
      </c>
    </row>
    <row r="4" spans="1:8" s="121" customFormat="1" hidden="1">
      <c r="A4" s="29" t="s">
        <v>339</v>
      </c>
      <c r="B4" s="84">
        <v>1.5</v>
      </c>
      <c r="C4" s="30"/>
      <c r="D4" s="157">
        <v>100000</v>
      </c>
      <c r="E4" s="29"/>
      <c r="F4" s="88"/>
      <c r="G4" s="9"/>
      <c r="H4" s="9">
        <f>B4*D4</f>
        <v>150000</v>
      </c>
    </row>
    <row r="5" spans="1:8" s="121" customFormat="1" hidden="1">
      <c r="A5" s="29" t="s">
        <v>68</v>
      </c>
      <c r="B5" s="84">
        <v>1.2</v>
      </c>
      <c r="C5" s="30" t="s">
        <v>69</v>
      </c>
      <c r="D5" s="9">
        <v>170000</v>
      </c>
      <c r="E5" s="29" t="s">
        <v>11</v>
      </c>
      <c r="F5" s="83"/>
      <c r="G5" s="9">
        <f>B5*D5</f>
        <v>204000</v>
      </c>
      <c r="H5" s="80"/>
    </row>
    <row r="6" spans="1:8" s="4" customFormat="1" ht="12.75" hidden="1">
      <c r="A6" s="76" t="s">
        <v>70</v>
      </c>
      <c r="B6" s="85">
        <f>ROUND((SUM(E6:H6)),0)</f>
        <v>1054000</v>
      </c>
      <c r="C6" s="78" t="s">
        <v>73</v>
      </c>
      <c r="D6" s="86"/>
      <c r="E6" s="80">
        <f>SUM(E3:E5)</f>
        <v>0</v>
      </c>
      <c r="F6" s="80">
        <f>SUM(F3:F5)</f>
        <v>700000</v>
      </c>
      <c r="G6" s="80">
        <f>SUM(G3:G5)</f>
        <v>204000</v>
      </c>
      <c r="H6" s="80">
        <f>SUM(H3:H5)</f>
        <v>150000</v>
      </c>
    </row>
    <row r="7" spans="1:8" hidden="1"/>
    <row r="8" spans="1:8" s="4" customFormat="1" ht="12.75">
      <c r="A8" s="158" t="s">
        <v>340</v>
      </c>
      <c r="B8" s="159"/>
      <c r="C8" s="160"/>
      <c r="D8" s="161"/>
      <c r="E8" s="159"/>
      <c r="F8" s="159"/>
      <c r="G8" s="159"/>
      <c r="H8" s="159"/>
    </row>
    <row r="9" spans="1:8" s="4" customFormat="1" ht="12.75">
      <c r="A9" s="158"/>
      <c r="B9" s="159"/>
      <c r="C9" s="160"/>
      <c r="D9" s="161"/>
      <c r="E9" s="162" t="s">
        <v>61</v>
      </c>
      <c r="F9" s="162" t="s">
        <v>62</v>
      </c>
      <c r="G9" s="162" t="s">
        <v>63</v>
      </c>
      <c r="H9" s="162" t="s">
        <v>64</v>
      </c>
    </row>
    <row r="10" spans="1:8" s="121" customFormat="1">
      <c r="A10" s="163" t="s">
        <v>341</v>
      </c>
      <c r="B10" s="164">
        <v>1</v>
      </c>
      <c r="C10" s="165" t="s">
        <v>8</v>
      </c>
      <c r="D10" s="166">
        <v>650000</v>
      </c>
      <c r="E10" s="163" t="s">
        <v>11</v>
      </c>
      <c r="F10" s="167">
        <f>B10*D10</f>
        <v>650000</v>
      </c>
      <c r="G10" s="166" t="s">
        <v>11</v>
      </c>
      <c r="H10" s="163" t="s">
        <v>11</v>
      </c>
    </row>
    <row r="11" spans="1:8" s="121" customFormat="1">
      <c r="A11" s="163" t="s">
        <v>339</v>
      </c>
      <c r="B11" s="168">
        <v>1</v>
      </c>
      <c r="C11" s="165"/>
      <c r="D11" s="166">
        <v>400000</v>
      </c>
      <c r="E11" s="163"/>
      <c r="F11" s="167"/>
      <c r="G11" s="166"/>
      <c r="H11" s="166">
        <f>B11*D11</f>
        <v>400000</v>
      </c>
    </row>
    <row r="12" spans="1:8" s="121" customFormat="1">
      <c r="A12" s="163" t="s">
        <v>68</v>
      </c>
      <c r="B12" s="168">
        <v>1</v>
      </c>
      <c r="C12" s="165" t="s">
        <v>69</v>
      </c>
      <c r="D12" s="166">
        <v>170000</v>
      </c>
      <c r="E12" s="163" t="s">
        <v>11</v>
      </c>
      <c r="F12" s="167"/>
      <c r="G12" s="166">
        <f>B12*D12</f>
        <v>170000</v>
      </c>
      <c r="H12" s="169"/>
    </row>
    <row r="13" spans="1:8" s="4" customFormat="1" ht="12.75">
      <c r="A13" s="170" t="s">
        <v>70</v>
      </c>
      <c r="B13" s="171">
        <f>ROUND((SUM(E13:H13)),0)</f>
        <v>1220000</v>
      </c>
      <c r="C13" s="172" t="s">
        <v>73</v>
      </c>
      <c r="D13" s="173"/>
      <c r="E13" s="169">
        <f>SUM(E10:E12)</f>
        <v>0</v>
      </c>
      <c r="F13" s="169">
        <f>SUM(F10:F12)</f>
        <v>650000</v>
      </c>
      <c r="G13" s="169">
        <f>SUM(G10:G12)</f>
        <v>170000</v>
      </c>
      <c r="H13" s="169">
        <f>SUM(H10:H12)</f>
        <v>400000</v>
      </c>
    </row>
    <row r="14" spans="1:8" ht="15" customHeight="1"/>
    <row r="15" spans="1:8" ht="15" customHeight="1">
      <c r="A15" s="158" t="s">
        <v>342</v>
      </c>
      <c r="B15" s="159"/>
      <c r="C15" s="160"/>
      <c r="D15" s="161"/>
      <c r="E15" s="159"/>
      <c r="F15" s="159"/>
      <c r="G15" s="159"/>
      <c r="H15" s="159"/>
    </row>
    <row r="16" spans="1:8" ht="15" customHeight="1">
      <c r="A16" s="158"/>
      <c r="B16" s="159"/>
      <c r="C16" s="160"/>
      <c r="D16" s="161"/>
      <c r="E16" s="162" t="s">
        <v>61</v>
      </c>
      <c r="F16" s="162" t="s">
        <v>62</v>
      </c>
      <c r="G16" s="162" t="s">
        <v>63</v>
      </c>
      <c r="H16" s="162" t="s">
        <v>64</v>
      </c>
    </row>
    <row r="17" spans="1:8" ht="15" customHeight="1">
      <c r="A17" s="163" t="s">
        <v>343</v>
      </c>
      <c r="B17" s="164">
        <v>1</v>
      </c>
      <c r="C17" s="165" t="s">
        <v>8</v>
      </c>
      <c r="D17" s="166">
        <v>11650</v>
      </c>
      <c r="E17" s="163" t="s">
        <v>11</v>
      </c>
      <c r="F17" s="167">
        <f>B17*D17</f>
        <v>11650</v>
      </c>
      <c r="G17" s="166" t="s">
        <v>11</v>
      </c>
      <c r="H17" s="163" t="s">
        <v>11</v>
      </c>
    </row>
    <row r="18" spans="1:8" ht="15" customHeight="1">
      <c r="A18" s="163" t="s">
        <v>77</v>
      </c>
      <c r="B18" s="164">
        <v>4</v>
      </c>
      <c r="C18" s="165" t="s">
        <v>8</v>
      </c>
      <c r="D18" s="166">
        <v>12250</v>
      </c>
      <c r="E18" s="163"/>
      <c r="F18" s="167">
        <f>B18*D18</f>
        <v>49000</v>
      </c>
      <c r="G18" s="166"/>
      <c r="H18" s="163"/>
    </row>
    <row r="19" spans="1:8" ht="15" customHeight="1">
      <c r="A19" s="163" t="s">
        <v>344</v>
      </c>
      <c r="B19" s="164">
        <v>3</v>
      </c>
      <c r="C19" s="165" t="s">
        <v>8</v>
      </c>
      <c r="D19" s="166">
        <v>100000</v>
      </c>
      <c r="E19" s="163"/>
      <c r="F19" s="167">
        <f t="shared" ref="F19:F36" si="0">B19*D19</f>
        <v>300000</v>
      </c>
      <c r="G19" s="166"/>
      <c r="H19" s="163"/>
    </row>
    <row r="20" spans="1:8" ht="15" customHeight="1">
      <c r="A20" s="163" t="s">
        <v>78</v>
      </c>
      <c r="B20" s="164">
        <v>3</v>
      </c>
      <c r="C20" s="165" t="s">
        <v>8</v>
      </c>
      <c r="D20" s="166">
        <v>113216</v>
      </c>
      <c r="E20" s="163"/>
      <c r="F20" s="167">
        <f t="shared" si="0"/>
        <v>339648</v>
      </c>
      <c r="G20" s="166"/>
      <c r="H20" s="163"/>
    </row>
    <row r="21" spans="1:8" ht="15" customHeight="1">
      <c r="A21" s="163" t="s">
        <v>345</v>
      </c>
      <c r="B21" s="164">
        <v>3</v>
      </c>
      <c r="C21" s="165" t="s">
        <v>8</v>
      </c>
      <c r="D21" s="166">
        <v>120000</v>
      </c>
      <c r="E21" s="163"/>
      <c r="F21" s="167">
        <f t="shared" si="0"/>
        <v>360000</v>
      </c>
      <c r="G21" s="166"/>
      <c r="H21" s="163"/>
    </row>
    <row r="22" spans="1:8" ht="15" customHeight="1">
      <c r="A22" s="163" t="s">
        <v>346</v>
      </c>
      <c r="B22" s="164">
        <v>1</v>
      </c>
      <c r="C22" s="165" t="s">
        <v>8</v>
      </c>
      <c r="D22" s="166">
        <v>20500</v>
      </c>
      <c r="E22" s="163"/>
      <c r="F22" s="167">
        <f t="shared" si="0"/>
        <v>20500</v>
      </c>
      <c r="G22" s="166"/>
      <c r="H22" s="163"/>
    </row>
    <row r="23" spans="1:8" ht="15" customHeight="1">
      <c r="A23" s="163" t="s">
        <v>347</v>
      </c>
      <c r="B23" s="164">
        <v>3</v>
      </c>
      <c r="C23" s="165" t="s">
        <v>8</v>
      </c>
      <c r="D23" s="166">
        <v>4000</v>
      </c>
      <c r="E23" s="163"/>
      <c r="F23" s="167">
        <f t="shared" si="0"/>
        <v>12000</v>
      </c>
      <c r="G23" s="166"/>
      <c r="H23" s="163"/>
    </row>
    <row r="24" spans="1:8" ht="15" customHeight="1">
      <c r="A24" s="163" t="s">
        <v>348</v>
      </c>
      <c r="B24" s="164">
        <v>4</v>
      </c>
      <c r="C24" s="165" t="s">
        <v>8</v>
      </c>
      <c r="D24" s="166">
        <v>2150</v>
      </c>
      <c r="E24" s="163"/>
      <c r="F24" s="167">
        <f t="shared" si="0"/>
        <v>8600</v>
      </c>
      <c r="G24" s="166"/>
      <c r="H24" s="163"/>
    </row>
    <row r="25" spans="1:8" ht="15" customHeight="1">
      <c r="A25" s="163" t="s">
        <v>349</v>
      </c>
      <c r="B25" s="164">
        <v>4</v>
      </c>
      <c r="C25" s="165" t="s">
        <v>8</v>
      </c>
      <c r="D25" s="166">
        <v>3150</v>
      </c>
      <c r="E25" s="163"/>
      <c r="F25" s="167">
        <f t="shared" si="0"/>
        <v>12600</v>
      </c>
      <c r="G25" s="166"/>
      <c r="H25" s="163"/>
    </row>
    <row r="26" spans="1:8" ht="15" customHeight="1">
      <c r="A26" s="163" t="s">
        <v>76</v>
      </c>
      <c r="B26" s="164">
        <v>22</v>
      </c>
      <c r="C26" s="165" t="s">
        <v>8</v>
      </c>
      <c r="D26" s="166">
        <v>200</v>
      </c>
      <c r="E26" s="163"/>
      <c r="F26" s="167">
        <f t="shared" si="0"/>
        <v>4400</v>
      </c>
      <c r="G26" s="166"/>
      <c r="H26" s="163"/>
    </row>
    <row r="27" spans="1:8" ht="15" customHeight="1">
      <c r="A27" s="163" t="s">
        <v>350</v>
      </c>
      <c r="B27" s="164">
        <v>30</v>
      </c>
      <c r="C27" s="165" t="s">
        <v>8</v>
      </c>
      <c r="D27" s="166">
        <v>350</v>
      </c>
      <c r="E27" s="163"/>
      <c r="F27" s="167">
        <f t="shared" si="0"/>
        <v>10500</v>
      </c>
      <c r="G27" s="166"/>
      <c r="H27" s="163"/>
    </row>
    <row r="28" spans="1:8" ht="15" customHeight="1">
      <c r="A28" s="163" t="s">
        <v>351</v>
      </c>
      <c r="B28" s="164">
        <v>1</v>
      </c>
      <c r="C28" s="165" t="s">
        <v>8</v>
      </c>
      <c r="D28" s="166">
        <v>10000</v>
      </c>
      <c r="E28" s="163"/>
      <c r="F28" s="167">
        <f t="shared" si="0"/>
        <v>10000</v>
      </c>
      <c r="G28" s="166"/>
      <c r="H28" s="163"/>
    </row>
    <row r="29" spans="1:8" ht="15" customHeight="1">
      <c r="A29" s="163" t="s">
        <v>352</v>
      </c>
      <c r="B29" s="164">
        <v>20</v>
      </c>
      <c r="C29" s="165" t="s">
        <v>18</v>
      </c>
      <c r="D29" s="166">
        <v>6000</v>
      </c>
      <c r="E29" s="163"/>
      <c r="F29" s="167">
        <f t="shared" si="0"/>
        <v>120000</v>
      </c>
      <c r="G29" s="166"/>
      <c r="H29" s="163"/>
    </row>
    <row r="30" spans="1:8" ht="15" customHeight="1">
      <c r="A30" s="163" t="s">
        <v>353</v>
      </c>
      <c r="B30" s="164">
        <v>9</v>
      </c>
      <c r="C30" s="165" t="s">
        <v>18</v>
      </c>
      <c r="D30" s="166">
        <v>1500</v>
      </c>
      <c r="E30" s="163" t="s">
        <v>11</v>
      </c>
      <c r="F30" s="167">
        <f t="shared" si="0"/>
        <v>13500</v>
      </c>
      <c r="G30" s="166" t="s">
        <v>11</v>
      </c>
      <c r="H30" s="163" t="s">
        <v>11</v>
      </c>
    </row>
    <row r="31" spans="1:8" ht="15" customHeight="1">
      <c r="A31" s="163" t="s">
        <v>354</v>
      </c>
      <c r="B31" s="164">
        <v>1</v>
      </c>
      <c r="C31" s="165" t="s">
        <v>8</v>
      </c>
      <c r="D31" s="166">
        <v>15000</v>
      </c>
      <c r="E31" s="163"/>
      <c r="F31" s="167">
        <f t="shared" si="0"/>
        <v>15000</v>
      </c>
      <c r="G31" s="166"/>
      <c r="H31" s="163"/>
    </row>
    <row r="32" spans="1:8" ht="15" customHeight="1">
      <c r="A32" s="163" t="s">
        <v>355</v>
      </c>
      <c r="B32" s="164">
        <v>1</v>
      </c>
      <c r="C32" s="165" t="s">
        <v>8</v>
      </c>
      <c r="D32" s="166">
        <v>115000</v>
      </c>
      <c r="E32" s="163"/>
      <c r="F32" s="167">
        <f t="shared" si="0"/>
        <v>115000</v>
      </c>
      <c r="G32" s="166"/>
      <c r="H32" s="163"/>
    </row>
    <row r="33" spans="1:8" ht="15" customHeight="1">
      <c r="A33" s="163" t="s">
        <v>356</v>
      </c>
      <c r="B33" s="164">
        <v>1</v>
      </c>
      <c r="C33" s="165" t="s">
        <v>8</v>
      </c>
      <c r="D33" s="166">
        <v>100000</v>
      </c>
      <c r="E33" s="163"/>
      <c r="F33" s="167">
        <f t="shared" si="0"/>
        <v>100000</v>
      </c>
      <c r="G33" s="166"/>
      <c r="H33" s="163"/>
    </row>
    <row r="34" spans="1:8" ht="15" customHeight="1">
      <c r="A34" s="163" t="s">
        <v>357</v>
      </c>
      <c r="B34" s="164">
        <v>6</v>
      </c>
      <c r="C34" s="165" t="s">
        <v>8</v>
      </c>
      <c r="D34" s="166">
        <v>76350</v>
      </c>
      <c r="E34" s="163"/>
      <c r="F34" s="167">
        <f t="shared" si="0"/>
        <v>458100</v>
      </c>
      <c r="G34" s="166"/>
      <c r="H34" s="163"/>
    </row>
    <row r="35" spans="1:8" ht="15" customHeight="1">
      <c r="A35" s="163" t="s">
        <v>358</v>
      </c>
      <c r="B35" s="164">
        <v>3</v>
      </c>
      <c r="C35" s="165" t="s">
        <v>8</v>
      </c>
      <c r="D35" s="166">
        <v>55000</v>
      </c>
      <c r="E35" s="163"/>
      <c r="F35" s="167">
        <f t="shared" si="0"/>
        <v>165000</v>
      </c>
      <c r="G35" s="166"/>
      <c r="H35" s="163"/>
    </row>
    <row r="36" spans="1:8" ht="15" customHeight="1">
      <c r="A36" s="163" t="s">
        <v>359</v>
      </c>
      <c r="B36" s="164">
        <v>1</v>
      </c>
      <c r="C36" s="165" t="s">
        <v>8</v>
      </c>
      <c r="D36" s="166">
        <v>175000</v>
      </c>
      <c r="E36" s="163"/>
      <c r="F36" s="167">
        <f t="shared" si="0"/>
        <v>175000</v>
      </c>
      <c r="G36" s="166"/>
      <c r="H36" s="163"/>
    </row>
    <row r="37" spans="1:8" ht="15" customHeight="1">
      <c r="A37" s="163" t="s">
        <v>68</v>
      </c>
      <c r="B37" s="174">
        <v>3</v>
      </c>
      <c r="C37" s="165" t="s">
        <v>69</v>
      </c>
      <c r="D37" s="166">
        <v>170000</v>
      </c>
      <c r="E37" s="163" t="s">
        <v>11</v>
      </c>
      <c r="F37" s="167"/>
      <c r="G37" s="166">
        <f>B37*D37</f>
        <v>510000</v>
      </c>
      <c r="H37" s="163" t="s">
        <v>11</v>
      </c>
    </row>
    <row r="38" spans="1:8" ht="15" customHeight="1">
      <c r="A38" s="170" t="s">
        <v>70</v>
      </c>
      <c r="B38" s="171">
        <f>ROUND((SUM(E38:H38)),0)</f>
        <v>2810498</v>
      </c>
      <c r="C38" s="172" t="s">
        <v>73</v>
      </c>
      <c r="D38" s="173"/>
      <c r="E38" s="169">
        <f>SUM(E17:E37)</f>
        <v>0</v>
      </c>
      <c r="F38" s="169">
        <f>SUM(F17:F37)</f>
        <v>2300498</v>
      </c>
      <c r="G38" s="169">
        <f>SUM(G17:G37)</f>
        <v>510000</v>
      </c>
      <c r="H38" s="169">
        <f>SUM(H17:H37)</f>
        <v>0</v>
      </c>
    </row>
    <row r="39" spans="1:8" ht="15" customHeight="1"/>
    <row r="40" spans="1:8" ht="15" customHeight="1">
      <c r="A40" s="158" t="s">
        <v>360</v>
      </c>
      <c r="B40" s="159"/>
      <c r="C40" s="160"/>
      <c r="D40" s="161"/>
      <c r="E40" s="159"/>
      <c r="F40" s="159"/>
      <c r="G40" s="159"/>
      <c r="H40" s="159"/>
    </row>
    <row r="41" spans="1:8" ht="15" customHeight="1">
      <c r="A41" s="158"/>
      <c r="B41" s="159"/>
      <c r="C41" s="160"/>
      <c r="D41" s="161"/>
      <c r="E41" s="162" t="s">
        <v>61</v>
      </c>
      <c r="F41" s="162" t="s">
        <v>62</v>
      </c>
      <c r="G41" s="162" t="s">
        <v>63</v>
      </c>
      <c r="H41" s="162" t="s">
        <v>64</v>
      </c>
    </row>
    <row r="42" spans="1:8" ht="15" customHeight="1">
      <c r="A42" s="163" t="s">
        <v>361</v>
      </c>
      <c r="B42" s="164">
        <v>1</v>
      </c>
      <c r="C42" s="165" t="s">
        <v>49</v>
      </c>
      <c r="D42" s="166">
        <v>10440000</v>
      </c>
      <c r="E42" s="163" t="s">
        <v>11</v>
      </c>
      <c r="F42" s="167">
        <f>B42*D42</f>
        <v>10440000</v>
      </c>
      <c r="G42" s="166" t="s">
        <v>11</v>
      </c>
      <c r="H42" s="163" t="s">
        <v>11</v>
      </c>
    </row>
    <row r="43" spans="1:8" ht="15" customHeight="1">
      <c r="A43" s="163" t="s">
        <v>68</v>
      </c>
      <c r="B43" s="174">
        <v>3.5</v>
      </c>
      <c r="C43" s="165" t="s">
        <v>69</v>
      </c>
      <c r="D43" s="166">
        <v>170000</v>
      </c>
      <c r="E43" s="163" t="s">
        <v>11</v>
      </c>
      <c r="F43" s="163" t="s">
        <v>11</v>
      </c>
      <c r="G43" s="166">
        <f>B43*D43</f>
        <v>595000</v>
      </c>
      <c r="H43" s="163" t="s">
        <v>11</v>
      </c>
    </row>
    <row r="44" spans="1:8" ht="15" customHeight="1">
      <c r="A44" s="170" t="s">
        <v>70</v>
      </c>
      <c r="B44" s="171">
        <f>ROUND((SUM(E44:H44)),0)</f>
        <v>11035000</v>
      </c>
      <c r="C44" s="172" t="s">
        <v>73</v>
      </c>
      <c r="D44" s="173"/>
      <c r="E44" s="169">
        <f>SUM(E42:E43)</f>
        <v>0</v>
      </c>
      <c r="F44" s="169">
        <f>SUM(F42:F43)</f>
        <v>10440000</v>
      </c>
      <c r="G44" s="169">
        <f>SUM(G42:G43)</f>
        <v>595000</v>
      </c>
      <c r="H44" s="169">
        <f>SUM(H42:H43)</f>
        <v>0</v>
      </c>
    </row>
    <row r="46" spans="1:8" s="50" customFormat="1" ht="12.75">
      <c r="A46" s="158" t="s">
        <v>362</v>
      </c>
      <c r="B46" s="159"/>
      <c r="C46" s="160"/>
      <c r="D46" s="161"/>
      <c r="E46" s="159"/>
      <c r="F46" s="159"/>
      <c r="G46" s="159"/>
      <c r="H46" s="159"/>
    </row>
    <row r="47" spans="1:8" s="50" customFormat="1" ht="12.75">
      <c r="A47" s="158"/>
      <c r="B47" s="159"/>
      <c r="C47" s="160"/>
      <c r="D47" s="161"/>
      <c r="E47" s="162" t="s">
        <v>61</v>
      </c>
      <c r="F47" s="162" t="s">
        <v>62</v>
      </c>
      <c r="G47" s="162" t="s">
        <v>63</v>
      </c>
      <c r="H47" s="162" t="s">
        <v>64</v>
      </c>
    </row>
    <row r="48" spans="1:8" s="50" customFormat="1" ht="12.75">
      <c r="A48" s="175" t="s">
        <v>84</v>
      </c>
      <c r="B48" s="164">
        <v>6</v>
      </c>
      <c r="C48" s="165" t="s">
        <v>66</v>
      </c>
      <c r="D48" s="166">
        <v>62500</v>
      </c>
      <c r="E48" s="163" t="s">
        <v>11</v>
      </c>
      <c r="F48" s="167">
        <f>B48*D48</f>
        <v>375000</v>
      </c>
      <c r="G48" s="166" t="s">
        <v>11</v>
      </c>
      <c r="H48" s="163" t="s">
        <v>11</v>
      </c>
    </row>
    <row r="49" spans="1:8" s="50" customFormat="1" ht="12.75">
      <c r="A49" s="175" t="s">
        <v>85</v>
      </c>
      <c r="B49" s="164">
        <v>1</v>
      </c>
      <c r="C49" s="165" t="s">
        <v>8</v>
      </c>
      <c r="D49" s="166">
        <v>17500</v>
      </c>
      <c r="E49" s="163" t="s">
        <v>11</v>
      </c>
      <c r="F49" s="167">
        <f>B49*D49</f>
        <v>17500</v>
      </c>
      <c r="G49" s="166" t="s">
        <v>11</v>
      </c>
      <c r="H49" s="163" t="s">
        <v>11</v>
      </c>
    </row>
    <row r="50" spans="1:8" s="50" customFormat="1" ht="12.75">
      <c r="A50" s="175" t="s">
        <v>86</v>
      </c>
      <c r="B50" s="164">
        <v>4</v>
      </c>
      <c r="C50" s="165" t="s">
        <v>66</v>
      </c>
      <c r="D50" s="166">
        <v>2800</v>
      </c>
      <c r="E50" s="163" t="s">
        <v>11</v>
      </c>
      <c r="F50" s="167">
        <f>B50*D50</f>
        <v>11200</v>
      </c>
      <c r="G50" s="166" t="s">
        <v>11</v>
      </c>
      <c r="H50" s="163" t="s">
        <v>11</v>
      </c>
    </row>
    <row r="51" spans="1:8" s="50" customFormat="1" ht="12.75">
      <c r="A51" s="175" t="s">
        <v>87</v>
      </c>
      <c r="B51" s="164">
        <v>6</v>
      </c>
      <c r="C51" s="165" t="s">
        <v>8</v>
      </c>
      <c r="D51" s="166">
        <v>700</v>
      </c>
      <c r="E51" s="163"/>
      <c r="F51" s="167">
        <f>B51*D51</f>
        <v>4200</v>
      </c>
      <c r="G51" s="166"/>
      <c r="H51" s="163"/>
    </row>
    <row r="52" spans="1:8" s="50" customFormat="1" ht="12.75">
      <c r="A52" s="175" t="s">
        <v>88</v>
      </c>
      <c r="B52" s="164">
        <v>1</v>
      </c>
      <c r="C52" s="165" t="s">
        <v>8</v>
      </c>
      <c r="D52" s="166">
        <v>15000</v>
      </c>
      <c r="E52" s="163"/>
      <c r="F52" s="167">
        <f>B52*D52</f>
        <v>15000</v>
      </c>
      <c r="G52" s="166"/>
      <c r="H52" s="163"/>
    </row>
    <row r="53" spans="1:8" s="50" customFormat="1" ht="12.75">
      <c r="A53" s="175" t="s">
        <v>68</v>
      </c>
      <c r="B53" s="176">
        <v>0.3</v>
      </c>
      <c r="C53" s="165" t="s">
        <v>69</v>
      </c>
      <c r="D53" s="166">
        <v>170000</v>
      </c>
      <c r="E53" s="163" t="s">
        <v>11</v>
      </c>
      <c r="F53" s="163" t="s">
        <v>11</v>
      </c>
      <c r="G53" s="166">
        <f>B53*D53</f>
        <v>51000</v>
      </c>
      <c r="H53" s="163" t="s">
        <v>11</v>
      </c>
    </row>
    <row r="54" spans="1:8" s="50" customFormat="1" ht="12.75">
      <c r="A54" s="170" t="s">
        <v>70</v>
      </c>
      <c r="B54" s="171">
        <f>ROUND((SUM(E54:H54)),0)</f>
        <v>473900</v>
      </c>
      <c r="C54" s="172" t="s">
        <v>73</v>
      </c>
      <c r="D54" s="173"/>
      <c r="E54" s="169">
        <f>SUM(E48:E53)</f>
        <v>0</v>
      </c>
      <c r="F54" s="169">
        <f>SUM(F48:F53)</f>
        <v>422900</v>
      </c>
      <c r="G54" s="169">
        <f>SUM(G48:G53)</f>
        <v>51000</v>
      </c>
      <c r="H54" s="169">
        <f>SUM(H48:H53)</f>
        <v>0</v>
      </c>
    </row>
    <row r="56" spans="1:8" s="4" customFormat="1" ht="12.75">
      <c r="A56" s="158" t="s">
        <v>363</v>
      </c>
      <c r="B56" s="159"/>
      <c r="C56" s="160"/>
      <c r="D56" s="161"/>
      <c r="E56" s="159"/>
      <c r="F56" s="159"/>
      <c r="G56" s="159"/>
      <c r="H56" s="159"/>
    </row>
    <row r="57" spans="1:8" s="4" customFormat="1" ht="12.75">
      <c r="A57" s="158"/>
      <c r="B57" s="159"/>
      <c r="C57" s="160"/>
      <c r="D57" s="161"/>
      <c r="E57" s="162" t="s">
        <v>61</v>
      </c>
      <c r="F57" s="162" t="s">
        <v>62</v>
      </c>
      <c r="G57" s="162" t="s">
        <v>63</v>
      </c>
      <c r="H57" s="162" t="s">
        <v>64</v>
      </c>
    </row>
    <row r="58" spans="1:8" s="4" customFormat="1" ht="12.75">
      <c r="A58" s="163" t="s">
        <v>364</v>
      </c>
      <c r="B58" s="164">
        <v>8</v>
      </c>
      <c r="C58" s="165" t="s">
        <v>18</v>
      </c>
      <c r="D58" s="166">
        <v>23000</v>
      </c>
      <c r="E58" s="163"/>
      <c r="F58" s="167">
        <f>B58*D58</f>
        <v>184000</v>
      </c>
      <c r="G58" s="166"/>
      <c r="H58" s="163"/>
    </row>
    <row r="59" spans="1:8" s="4" customFormat="1" ht="12.75">
      <c r="A59" s="175" t="s">
        <v>68</v>
      </c>
      <c r="B59" s="177">
        <v>0.117647</v>
      </c>
      <c r="C59" s="165" t="s">
        <v>69</v>
      </c>
      <c r="D59" s="166">
        <v>170000</v>
      </c>
      <c r="E59" s="163" t="s">
        <v>11</v>
      </c>
      <c r="F59" s="163" t="s">
        <v>11</v>
      </c>
      <c r="G59" s="166">
        <f>B59*D59</f>
        <v>19999.990000000002</v>
      </c>
      <c r="H59" s="163" t="s">
        <v>11</v>
      </c>
    </row>
    <row r="60" spans="1:8" s="4" customFormat="1" ht="12.75">
      <c r="A60" s="170" t="s">
        <v>70</v>
      </c>
      <c r="B60" s="171">
        <f>ROUND((SUM(E60:H60)),0)</f>
        <v>204000</v>
      </c>
      <c r="C60" s="172" t="s">
        <v>71</v>
      </c>
      <c r="D60" s="173"/>
      <c r="E60" s="169">
        <f>SUM(E58:E59)</f>
        <v>0</v>
      </c>
      <c r="F60" s="169">
        <f>SUM(F58:F59)</f>
        <v>184000</v>
      </c>
      <c r="G60" s="169">
        <f>SUM(G58:G59)</f>
        <v>19999.990000000002</v>
      </c>
      <c r="H60" s="169">
        <f>SUM(H58:H59)</f>
        <v>0</v>
      </c>
    </row>
    <row r="62" spans="1:8" s="4" customFormat="1" ht="12.75">
      <c r="A62" s="158" t="s">
        <v>365</v>
      </c>
      <c r="B62" s="159"/>
      <c r="C62" s="160"/>
      <c r="D62" s="161"/>
      <c r="E62" s="159"/>
      <c r="F62" s="159"/>
      <c r="G62" s="159"/>
      <c r="H62" s="159"/>
    </row>
    <row r="63" spans="1:8" s="4" customFormat="1" ht="12.75">
      <c r="A63" s="158"/>
      <c r="B63" s="159"/>
      <c r="C63" s="160"/>
      <c r="D63" s="161"/>
      <c r="E63" s="162" t="s">
        <v>61</v>
      </c>
      <c r="F63" s="162" t="s">
        <v>62</v>
      </c>
      <c r="G63" s="162" t="s">
        <v>63</v>
      </c>
      <c r="H63" s="162" t="s">
        <v>64</v>
      </c>
    </row>
    <row r="64" spans="1:8" s="4" customFormat="1" ht="12.75">
      <c r="A64" s="163" t="s">
        <v>149</v>
      </c>
      <c r="B64" s="164">
        <v>4</v>
      </c>
      <c r="C64" s="165" t="s">
        <v>66</v>
      </c>
      <c r="D64" s="166">
        <v>9500</v>
      </c>
      <c r="E64" s="163" t="s">
        <v>11</v>
      </c>
      <c r="F64" s="167">
        <f>B64*D64</f>
        <v>38000</v>
      </c>
      <c r="G64" s="166" t="s">
        <v>11</v>
      </c>
      <c r="H64" s="163" t="s">
        <v>11</v>
      </c>
    </row>
    <row r="65" spans="1:8" s="4" customFormat="1" ht="12.75">
      <c r="A65" s="175" t="s">
        <v>68</v>
      </c>
      <c r="B65" s="177">
        <v>5.8823E-2</v>
      </c>
      <c r="C65" s="165" t="s">
        <v>69</v>
      </c>
      <c r="D65" s="166">
        <v>170000</v>
      </c>
      <c r="E65" s="163" t="s">
        <v>11</v>
      </c>
      <c r="F65" s="163" t="s">
        <v>11</v>
      </c>
      <c r="G65" s="166">
        <f>B65*D65</f>
        <v>9999.91</v>
      </c>
      <c r="H65" s="163" t="s">
        <v>11</v>
      </c>
    </row>
    <row r="66" spans="1:8" s="4" customFormat="1" ht="12.75">
      <c r="A66" s="170" t="s">
        <v>70</v>
      </c>
      <c r="B66" s="171">
        <f>ROUND((SUM(E66:H66)),0)</f>
        <v>48000</v>
      </c>
      <c r="C66" s="172" t="s">
        <v>71</v>
      </c>
      <c r="D66" s="173"/>
      <c r="E66" s="169">
        <f>SUM(E64:E65)</f>
        <v>0</v>
      </c>
      <c r="F66" s="169">
        <f>SUM(F64:F65)</f>
        <v>38000</v>
      </c>
      <c r="G66" s="169">
        <f>SUM(G64:G65)</f>
        <v>9999.91</v>
      </c>
      <c r="H66" s="169">
        <f>SUM(H64:H65)</f>
        <v>0</v>
      </c>
    </row>
    <row r="68" spans="1:8" s="4" customFormat="1" ht="12.75">
      <c r="A68" s="158" t="s">
        <v>366</v>
      </c>
      <c r="B68" s="159"/>
      <c r="C68" s="160"/>
      <c r="D68" s="161"/>
      <c r="E68" s="159"/>
      <c r="F68" s="159"/>
      <c r="G68" s="159"/>
      <c r="H68" s="159"/>
    </row>
    <row r="69" spans="1:8" s="4" customFormat="1" ht="12.75">
      <c r="A69" s="158"/>
      <c r="B69" s="159"/>
      <c r="C69" s="160"/>
      <c r="D69" s="161"/>
      <c r="E69" s="162" t="s">
        <v>61</v>
      </c>
      <c r="F69" s="162" t="s">
        <v>62</v>
      </c>
      <c r="G69" s="162" t="s">
        <v>63</v>
      </c>
      <c r="H69" s="162" t="s">
        <v>64</v>
      </c>
    </row>
    <row r="70" spans="1:8" s="4" customFormat="1" ht="12.75">
      <c r="A70" s="163" t="s">
        <v>149</v>
      </c>
      <c r="B70" s="164">
        <v>4</v>
      </c>
      <c r="C70" s="165" t="s">
        <v>66</v>
      </c>
      <c r="D70" s="166">
        <v>9500</v>
      </c>
      <c r="E70" s="163" t="s">
        <v>11</v>
      </c>
      <c r="F70" s="167">
        <f>B70*D70</f>
        <v>38000</v>
      </c>
      <c r="G70" s="166" t="s">
        <v>11</v>
      </c>
      <c r="H70" s="163" t="s">
        <v>11</v>
      </c>
    </row>
    <row r="71" spans="1:8" s="4" customFormat="1" ht="12.75">
      <c r="A71" s="163" t="s">
        <v>98</v>
      </c>
      <c r="B71" s="164">
        <v>1</v>
      </c>
      <c r="C71" s="165" t="s">
        <v>66</v>
      </c>
      <c r="D71" s="166">
        <v>6500</v>
      </c>
      <c r="E71" s="163" t="s">
        <v>11</v>
      </c>
      <c r="F71" s="167">
        <f>B71*D71</f>
        <v>6500</v>
      </c>
      <c r="G71" s="166" t="s">
        <v>11</v>
      </c>
      <c r="H71" s="163" t="s">
        <v>11</v>
      </c>
    </row>
    <row r="72" spans="1:8" s="4" customFormat="1" ht="12.75">
      <c r="A72" s="163" t="s">
        <v>261</v>
      </c>
      <c r="B72" s="164">
        <v>1</v>
      </c>
      <c r="C72" s="165" t="s">
        <v>18</v>
      </c>
      <c r="D72" s="166">
        <v>4500</v>
      </c>
      <c r="E72" s="163"/>
      <c r="F72" s="167">
        <f>B72*D72</f>
        <v>4500</v>
      </c>
      <c r="G72" s="166"/>
      <c r="H72" s="163"/>
    </row>
    <row r="73" spans="1:8" s="4" customFormat="1" ht="12.75">
      <c r="A73" s="175" t="s">
        <v>68</v>
      </c>
      <c r="B73" s="178">
        <v>7.0558823000000007E-2</v>
      </c>
      <c r="C73" s="165" t="s">
        <v>69</v>
      </c>
      <c r="D73" s="166">
        <v>170000</v>
      </c>
      <c r="E73" s="163" t="s">
        <v>11</v>
      </c>
      <c r="F73" s="163" t="s">
        <v>11</v>
      </c>
      <c r="G73" s="166">
        <f>B73*D73</f>
        <v>11994.99991</v>
      </c>
      <c r="H73" s="163" t="s">
        <v>11</v>
      </c>
    </row>
    <row r="74" spans="1:8" s="4" customFormat="1" ht="12.75">
      <c r="A74" s="170" t="s">
        <v>70</v>
      </c>
      <c r="B74" s="171">
        <f>ROUND((SUM(E74:H74)),0)</f>
        <v>60995</v>
      </c>
      <c r="C74" s="172" t="s">
        <v>71</v>
      </c>
      <c r="D74" s="173"/>
      <c r="E74" s="169">
        <f>SUM(E70:E73)</f>
        <v>0</v>
      </c>
      <c r="F74" s="169">
        <f>SUM(F70:F73)</f>
        <v>49000</v>
      </c>
      <c r="G74" s="169">
        <f>SUM(G70:G73)</f>
        <v>11994.99991</v>
      </c>
      <c r="H74" s="169">
        <f>SUM(H70:H73)</f>
        <v>0</v>
      </c>
    </row>
    <row r="76" spans="1:8" s="4" customFormat="1" ht="12.75">
      <c r="A76" s="158" t="s">
        <v>367</v>
      </c>
      <c r="B76" s="159"/>
      <c r="C76" s="160"/>
      <c r="D76" s="161"/>
      <c r="E76" s="159"/>
      <c r="F76" s="159"/>
      <c r="G76" s="159"/>
      <c r="H76" s="159"/>
    </row>
    <row r="77" spans="1:8" s="4" customFormat="1" ht="12.75">
      <c r="A77" s="158"/>
      <c r="B77" s="159"/>
      <c r="C77" s="160"/>
      <c r="D77" s="161"/>
      <c r="E77" s="162" t="s">
        <v>61</v>
      </c>
      <c r="F77" s="162" t="s">
        <v>62</v>
      </c>
      <c r="G77" s="162" t="s">
        <v>63</v>
      </c>
      <c r="H77" s="162" t="s">
        <v>64</v>
      </c>
    </row>
    <row r="78" spans="1:8" s="4" customFormat="1" ht="12.75">
      <c r="A78" s="163" t="s">
        <v>99</v>
      </c>
      <c r="B78" s="164">
        <v>3</v>
      </c>
      <c r="C78" s="165" t="s">
        <v>66</v>
      </c>
      <c r="D78" s="166">
        <v>3300</v>
      </c>
      <c r="E78" s="163" t="s">
        <v>11</v>
      </c>
      <c r="F78" s="167">
        <f>B78*D78</f>
        <v>9900</v>
      </c>
      <c r="G78" s="166" t="s">
        <v>11</v>
      </c>
      <c r="H78" s="163" t="s">
        <v>11</v>
      </c>
    </row>
    <row r="79" spans="1:8" s="4" customFormat="1" ht="12.75">
      <c r="A79" s="163" t="s">
        <v>190</v>
      </c>
      <c r="B79" s="164">
        <v>1</v>
      </c>
      <c r="C79" s="165" t="s">
        <v>66</v>
      </c>
      <c r="D79" s="166">
        <v>2300</v>
      </c>
      <c r="E79" s="163" t="s">
        <v>11</v>
      </c>
      <c r="F79" s="167">
        <f>B79*D79</f>
        <v>2300</v>
      </c>
      <c r="G79" s="166" t="s">
        <v>11</v>
      </c>
      <c r="H79" s="163" t="s">
        <v>11</v>
      </c>
    </row>
    <row r="80" spans="1:8" s="4" customFormat="1" ht="12.75">
      <c r="A80" s="163" t="s">
        <v>188</v>
      </c>
      <c r="B80" s="164">
        <v>1</v>
      </c>
      <c r="C80" s="165" t="s">
        <v>66</v>
      </c>
      <c r="D80" s="166">
        <v>1200</v>
      </c>
      <c r="E80" s="163" t="s">
        <v>11</v>
      </c>
      <c r="F80" s="167">
        <f>B80*D80</f>
        <v>1200</v>
      </c>
      <c r="G80" s="166" t="s">
        <v>11</v>
      </c>
      <c r="H80" s="163" t="s">
        <v>11</v>
      </c>
    </row>
    <row r="81" spans="1:8" s="4" customFormat="1" ht="12.75">
      <c r="A81" s="163" t="s">
        <v>68</v>
      </c>
      <c r="B81" s="176">
        <v>3.8199999999999998E-2</v>
      </c>
      <c r="C81" s="165" t="s">
        <v>69</v>
      </c>
      <c r="D81" s="166">
        <v>170000</v>
      </c>
      <c r="E81" s="163" t="s">
        <v>11</v>
      </c>
      <c r="F81" s="167"/>
      <c r="G81" s="166">
        <f>B81*D81</f>
        <v>6494</v>
      </c>
      <c r="H81" s="163" t="s">
        <v>11</v>
      </c>
    </row>
    <row r="82" spans="1:8" s="4" customFormat="1" ht="12.75">
      <c r="A82" s="170" t="s">
        <v>70</v>
      </c>
      <c r="B82" s="171">
        <f>ROUND((SUM(E82:H82)),0)</f>
        <v>19894</v>
      </c>
      <c r="C82" s="172" t="s">
        <v>71</v>
      </c>
      <c r="D82" s="173"/>
      <c r="E82" s="169">
        <f>SUM(E78:E81)</f>
        <v>0</v>
      </c>
      <c r="F82" s="169">
        <f>SUM(F78:F81)</f>
        <v>13400</v>
      </c>
      <c r="G82" s="169">
        <f>SUM(G78:G81)</f>
        <v>6494</v>
      </c>
      <c r="H82" s="169">
        <f>SUM(H78:H81)</f>
        <v>0</v>
      </c>
    </row>
    <row r="84" spans="1:8" s="4" customFormat="1" ht="12.75">
      <c r="A84" s="158" t="s">
        <v>368</v>
      </c>
      <c r="B84" s="159"/>
      <c r="C84" s="160"/>
      <c r="D84" s="161"/>
      <c r="E84" s="159"/>
      <c r="F84" s="159"/>
      <c r="G84" s="159"/>
      <c r="H84" s="159"/>
    </row>
    <row r="85" spans="1:8" s="4" customFormat="1" ht="12.75">
      <c r="A85" s="158"/>
      <c r="B85" s="159"/>
      <c r="C85" s="160"/>
      <c r="D85" s="161"/>
      <c r="E85" s="162" t="s">
        <v>61</v>
      </c>
      <c r="F85" s="162" t="s">
        <v>62</v>
      </c>
      <c r="G85" s="162" t="s">
        <v>63</v>
      </c>
      <c r="H85" s="162" t="s">
        <v>64</v>
      </c>
    </row>
    <row r="86" spans="1:8" s="4" customFormat="1" ht="12.75">
      <c r="A86" s="163" t="s">
        <v>99</v>
      </c>
      <c r="B86" s="164">
        <v>4</v>
      </c>
      <c r="C86" s="165" t="s">
        <v>66</v>
      </c>
      <c r="D86" s="166">
        <v>3300</v>
      </c>
      <c r="E86" s="163" t="s">
        <v>11</v>
      </c>
      <c r="F86" s="167">
        <f>B86*D86</f>
        <v>13200</v>
      </c>
      <c r="G86" s="166" t="s">
        <v>11</v>
      </c>
      <c r="H86" s="163" t="s">
        <v>11</v>
      </c>
    </row>
    <row r="87" spans="1:8" s="4" customFormat="1" ht="12.75">
      <c r="A87" s="163" t="s">
        <v>190</v>
      </c>
      <c r="B87" s="164">
        <v>1</v>
      </c>
      <c r="C87" s="165" t="s">
        <v>66</v>
      </c>
      <c r="D87" s="166">
        <v>2300</v>
      </c>
      <c r="E87" s="163" t="s">
        <v>11</v>
      </c>
      <c r="F87" s="167">
        <f>B87*D87</f>
        <v>2300</v>
      </c>
      <c r="G87" s="166" t="s">
        <v>11</v>
      </c>
      <c r="H87" s="163" t="s">
        <v>11</v>
      </c>
    </row>
    <row r="88" spans="1:8" s="4" customFormat="1" ht="12.75">
      <c r="A88" s="163" t="s">
        <v>188</v>
      </c>
      <c r="B88" s="164">
        <v>1</v>
      </c>
      <c r="C88" s="165" t="s">
        <v>66</v>
      </c>
      <c r="D88" s="166">
        <v>1200</v>
      </c>
      <c r="E88" s="163" t="s">
        <v>11</v>
      </c>
      <c r="F88" s="167">
        <f>B88*D88</f>
        <v>1200</v>
      </c>
      <c r="G88" s="166" t="s">
        <v>11</v>
      </c>
      <c r="H88" s="163" t="s">
        <v>11</v>
      </c>
    </row>
    <row r="89" spans="1:8" s="4" customFormat="1" ht="12.75">
      <c r="A89" s="163" t="s">
        <v>68</v>
      </c>
      <c r="B89" s="177">
        <v>4.4117000000000003E-2</v>
      </c>
      <c r="C89" s="165" t="s">
        <v>69</v>
      </c>
      <c r="D89" s="166">
        <v>170000</v>
      </c>
      <c r="E89" s="163" t="s">
        <v>11</v>
      </c>
      <c r="F89" s="167"/>
      <c r="G89" s="166">
        <f>B89*D89</f>
        <v>7499.89</v>
      </c>
      <c r="H89" s="163" t="s">
        <v>11</v>
      </c>
    </row>
    <row r="90" spans="1:8" s="4" customFormat="1" ht="12.75">
      <c r="A90" s="170" t="s">
        <v>70</v>
      </c>
      <c r="B90" s="171">
        <f>ROUND((SUM(E90:H90)),0)</f>
        <v>24200</v>
      </c>
      <c r="C90" s="172" t="s">
        <v>71</v>
      </c>
      <c r="D90" s="173"/>
      <c r="E90" s="169">
        <f>SUM(E86:E89)</f>
        <v>0</v>
      </c>
      <c r="F90" s="169">
        <f>SUM(F86:F89)</f>
        <v>16700</v>
      </c>
      <c r="G90" s="169">
        <f>SUM(G86:G89)</f>
        <v>7499.89</v>
      </c>
      <c r="H90" s="169">
        <f>SUM(H86:H89)</f>
        <v>0</v>
      </c>
    </row>
    <row r="92" spans="1:8" s="4" customFormat="1" ht="12.75">
      <c r="A92" s="158" t="s">
        <v>369</v>
      </c>
      <c r="B92" s="159"/>
      <c r="C92" s="160"/>
      <c r="D92" s="161"/>
      <c r="E92" s="159"/>
      <c r="F92" s="159"/>
      <c r="G92" s="159"/>
      <c r="H92" s="159"/>
    </row>
    <row r="93" spans="1:8" s="4" customFormat="1" ht="12.75">
      <c r="A93" s="158"/>
      <c r="B93" s="159"/>
      <c r="C93" s="160"/>
      <c r="D93" s="161"/>
      <c r="E93" s="162" t="s">
        <v>61</v>
      </c>
      <c r="F93" s="162" t="s">
        <v>62</v>
      </c>
      <c r="G93" s="162" t="s">
        <v>63</v>
      </c>
      <c r="H93" s="162" t="s">
        <v>64</v>
      </c>
    </row>
    <row r="94" spans="1:8" s="4" customFormat="1" ht="12.75">
      <c r="A94" s="163" t="s">
        <v>98</v>
      </c>
      <c r="B94" s="164">
        <v>4</v>
      </c>
      <c r="C94" s="165" t="s">
        <v>66</v>
      </c>
      <c r="D94" s="166">
        <v>6500</v>
      </c>
      <c r="E94" s="163" t="s">
        <v>11</v>
      </c>
      <c r="F94" s="167">
        <f>B94*D94</f>
        <v>26000</v>
      </c>
      <c r="G94" s="166" t="s">
        <v>11</v>
      </c>
      <c r="H94" s="163" t="s">
        <v>11</v>
      </c>
    </row>
    <row r="95" spans="1:8" s="4" customFormat="1" ht="12.75">
      <c r="A95" s="163" t="s">
        <v>100</v>
      </c>
      <c r="B95" s="164">
        <v>1</v>
      </c>
      <c r="C95" s="165" t="s">
        <v>66</v>
      </c>
      <c r="D95" s="166">
        <v>4000</v>
      </c>
      <c r="E95" s="163" t="s">
        <v>11</v>
      </c>
      <c r="F95" s="167">
        <f>B95*D95</f>
        <v>4000</v>
      </c>
      <c r="G95" s="166" t="s">
        <v>11</v>
      </c>
      <c r="H95" s="163" t="s">
        <v>11</v>
      </c>
    </row>
    <row r="96" spans="1:8" s="4" customFormat="1" ht="12.75">
      <c r="A96" s="163" t="s">
        <v>261</v>
      </c>
      <c r="B96" s="164">
        <v>1</v>
      </c>
      <c r="C96" s="165" t="s">
        <v>18</v>
      </c>
      <c r="D96" s="166">
        <v>4500</v>
      </c>
      <c r="E96" s="163"/>
      <c r="F96" s="167">
        <f>B96*D96</f>
        <v>4500</v>
      </c>
      <c r="G96" s="166"/>
      <c r="H96" s="163"/>
    </row>
    <row r="97" spans="1:8" s="4" customFormat="1" ht="12.75">
      <c r="A97" s="175" t="s">
        <v>68</v>
      </c>
      <c r="B97" s="179">
        <v>5.2940000000000001E-2</v>
      </c>
      <c r="C97" s="165" t="s">
        <v>69</v>
      </c>
      <c r="D97" s="166">
        <v>170000</v>
      </c>
      <c r="E97" s="163" t="s">
        <v>11</v>
      </c>
      <c r="F97" s="163" t="s">
        <v>11</v>
      </c>
      <c r="G97" s="166">
        <f>B97*D97</f>
        <v>8999.7999999999993</v>
      </c>
      <c r="H97" s="163" t="s">
        <v>11</v>
      </c>
    </row>
    <row r="98" spans="1:8" s="4" customFormat="1" ht="12.75">
      <c r="A98" s="170" t="s">
        <v>70</v>
      </c>
      <c r="B98" s="171">
        <f>ROUND((SUM(E98:H98)),0)</f>
        <v>43500</v>
      </c>
      <c r="C98" s="172" t="s">
        <v>71</v>
      </c>
      <c r="D98" s="173"/>
      <c r="E98" s="169">
        <f>SUM(E94:E97)</f>
        <v>0</v>
      </c>
      <c r="F98" s="169">
        <f>SUM(F94:F97)</f>
        <v>34500</v>
      </c>
      <c r="G98" s="169">
        <f>SUM(G94:G97)</f>
        <v>8999.7999999999993</v>
      </c>
      <c r="H98" s="169">
        <f>SUM(H94:H97)</f>
        <v>0</v>
      </c>
    </row>
    <row r="100" spans="1:8" s="4" customFormat="1" ht="12.75">
      <c r="A100" s="158" t="s">
        <v>370</v>
      </c>
      <c r="B100" s="159"/>
      <c r="C100" s="160"/>
      <c r="D100" s="161"/>
      <c r="E100" s="159"/>
      <c r="F100" s="159"/>
      <c r="G100" s="159"/>
      <c r="H100" s="159"/>
    </row>
    <row r="101" spans="1:8" s="4" customFormat="1" ht="12.75">
      <c r="A101" s="158"/>
      <c r="B101" s="159"/>
      <c r="C101" s="160"/>
      <c r="D101" s="161"/>
      <c r="E101" s="162" t="s">
        <v>61</v>
      </c>
      <c r="F101" s="162" t="s">
        <v>62</v>
      </c>
      <c r="G101" s="162" t="s">
        <v>63</v>
      </c>
      <c r="H101" s="162" t="s">
        <v>64</v>
      </c>
    </row>
    <row r="102" spans="1:8" s="4" customFormat="1" ht="12.75">
      <c r="A102" s="175" t="s">
        <v>67</v>
      </c>
      <c r="B102" s="164">
        <v>3</v>
      </c>
      <c r="C102" s="165" t="s">
        <v>66</v>
      </c>
      <c r="D102" s="166">
        <v>8800</v>
      </c>
      <c r="E102" s="163" t="s">
        <v>11</v>
      </c>
      <c r="F102" s="167">
        <f>B102*D102</f>
        <v>26400</v>
      </c>
      <c r="G102" s="166" t="s">
        <v>11</v>
      </c>
      <c r="H102" s="163" t="s">
        <v>11</v>
      </c>
    </row>
    <row r="103" spans="1:8" s="4" customFormat="1" ht="12.75">
      <c r="A103" s="175" t="s">
        <v>126</v>
      </c>
      <c r="B103" s="164">
        <v>1</v>
      </c>
      <c r="C103" s="165" t="s">
        <v>75</v>
      </c>
      <c r="D103" s="166">
        <v>800</v>
      </c>
      <c r="E103" s="163"/>
      <c r="F103" s="167">
        <f>B103*D103</f>
        <v>800</v>
      </c>
      <c r="G103" s="166"/>
      <c r="H103" s="163"/>
    </row>
    <row r="104" spans="1:8" s="4" customFormat="1" ht="12.75">
      <c r="A104" s="175" t="s">
        <v>68</v>
      </c>
      <c r="B104" s="177">
        <v>3.5293999999999999E-2</v>
      </c>
      <c r="C104" s="165" t="s">
        <v>69</v>
      </c>
      <c r="D104" s="166">
        <v>170000</v>
      </c>
      <c r="E104" s="163" t="s">
        <v>11</v>
      </c>
      <c r="F104" s="163" t="s">
        <v>11</v>
      </c>
      <c r="G104" s="166">
        <f>B104*D104</f>
        <v>5999.98</v>
      </c>
      <c r="H104" s="163" t="s">
        <v>11</v>
      </c>
    </row>
    <row r="105" spans="1:8" s="4" customFormat="1" ht="12.75">
      <c r="A105" s="170" t="s">
        <v>70</v>
      </c>
      <c r="B105" s="171">
        <f>ROUND((SUM(E105:H105)),0)</f>
        <v>33200</v>
      </c>
      <c r="C105" s="172" t="s">
        <v>71</v>
      </c>
      <c r="D105" s="173"/>
      <c r="E105" s="169">
        <f>SUM(E102:E104)</f>
        <v>0</v>
      </c>
      <c r="F105" s="169">
        <f>SUM(F102:F104)</f>
        <v>27200</v>
      </c>
      <c r="G105" s="169">
        <f>SUM(G102:G104)</f>
        <v>5999.98</v>
      </c>
      <c r="H105" s="169">
        <f>SUM(H102:H104)</f>
        <v>0</v>
      </c>
    </row>
    <row r="107" spans="1:8" s="4" customFormat="1" ht="12.75">
      <c r="A107" s="158" t="s">
        <v>371</v>
      </c>
      <c r="B107" s="159"/>
      <c r="C107" s="160"/>
      <c r="D107" s="161"/>
      <c r="E107" s="159"/>
      <c r="F107" s="159"/>
      <c r="G107" s="159"/>
      <c r="H107" s="159"/>
    </row>
    <row r="108" spans="1:8" s="4" customFormat="1" ht="12.75">
      <c r="A108" s="158"/>
      <c r="B108" s="159"/>
      <c r="C108" s="160"/>
      <c r="D108" s="161"/>
      <c r="E108" s="162" t="s">
        <v>61</v>
      </c>
      <c r="F108" s="162" t="s">
        <v>62</v>
      </c>
      <c r="G108" s="162" t="s">
        <v>63</v>
      </c>
      <c r="H108" s="162" t="s">
        <v>64</v>
      </c>
    </row>
    <row r="109" spans="1:8" s="4" customFormat="1" ht="12.75">
      <c r="A109" s="175" t="s">
        <v>67</v>
      </c>
      <c r="B109" s="164">
        <v>2</v>
      </c>
      <c r="C109" s="165" t="s">
        <v>66</v>
      </c>
      <c r="D109" s="166">
        <v>8800</v>
      </c>
      <c r="E109" s="163" t="s">
        <v>11</v>
      </c>
      <c r="F109" s="167">
        <f>B109*D109</f>
        <v>17600</v>
      </c>
      <c r="G109" s="166" t="s">
        <v>11</v>
      </c>
      <c r="H109" s="163" t="s">
        <v>11</v>
      </c>
    </row>
    <row r="110" spans="1:8" s="4" customFormat="1" ht="12.75">
      <c r="A110" s="175" t="s">
        <v>126</v>
      </c>
      <c r="B110" s="164">
        <v>1</v>
      </c>
      <c r="C110" s="165" t="s">
        <v>75</v>
      </c>
      <c r="D110" s="166">
        <v>800</v>
      </c>
      <c r="E110" s="163"/>
      <c r="F110" s="167">
        <f>B110*D110</f>
        <v>800</v>
      </c>
      <c r="G110" s="166"/>
      <c r="H110" s="163"/>
    </row>
    <row r="111" spans="1:8" s="4" customFormat="1" ht="12.75">
      <c r="A111" s="175" t="s">
        <v>68</v>
      </c>
      <c r="B111" s="177">
        <v>2.3529000000000001E-2</v>
      </c>
      <c r="C111" s="165" t="s">
        <v>69</v>
      </c>
      <c r="D111" s="166">
        <v>170000</v>
      </c>
      <c r="E111" s="163" t="s">
        <v>11</v>
      </c>
      <c r="F111" s="163" t="s">
        <v>11</v>
      </c>
      <c r="G111" s="166">
        <f>B111*D111</f>
        <v>3999.9300000000003</v>
      </c>
      <c r="H111" s="163" t="s">
        <v>11</v>
      </c>
    </row>
    <row r="112" spans="1:8" s="4" customFormat="1" ht="12.75">
      <c r="A112" s="170" t="s">
        <v>70</v>
      </c>
      <c r="B112" s="171">
        <f>ROUND((SUM(E112:H112)),0)</f>
        <v>22400</v>
      </c>
      <c r="C112" s="172" t="s">
        <v>71</v>
      </c>
      <c r="D112" s="173"/>
      <c r="E112" s="169">
        <f>SUM(E109:E111)</f>
        <v>0</v>
      </c>
      <c r="F112" s="169">
        <f>SUM(F109:F111)</f>
        <v>18400</v>
      </c>
      <c r="G112" s="169">
        <f>SUM(G109:G111)</f>
        <v>3999.9300000000003</v>
      </c>
      <c r="H112" s="169">
        <f>SUM(H109:H111)</f>
        <v>0</v>
      </c>
    </row>
    <row r="114" spans="1:8" s="4" customFormat="1" ht="12.75">
      <c r="A114" s="158" t="s">
        <v>372</v>
      </c>
      <c r="B114" s="159"/>
      <c r="C114" s="160"/>
      <c r="D114" s="161"/>
      <c r="E114" s="159"/>
      <c r="F114" s="159"/>
      <c r="G114" s="159"/>
      <c r="H114" s="159"/>
    </row>
    <row r="115" spans="1:8" s="4" customFormat="1" ht="12.75">
      <c r="A115" s="158"/>
      <c r="B115" s="159"/>
      <c r="C115" s="160"/>
      <c r="D115" s="161"/>
      <c r="E115" s="162" t="s">
        <v>61</v>
      </c>
      <c r="F115" s="162" t="s">
        <v>62</v>
      </c>
      <c r="G115" s="162" t="s">
        <v>63</v>
      </c>
      <c r="H115" s="162" t="s">
        <v>64</v>
      </c>
    </row>
    <row r="116" spans="1:8" s="4" customFormat="1" ht="12.75">
      <c r="A116" s="180" t="s">
        <v>299</v>
      </c>
      <c r="B116" s="181">
        <v>1</v>
      </c>
      <c r="C116" s="182" t="s">
        <v>49</v>
      </c>
      <c r="D116" s="183">
        <v>480590</v>
      </c>
      <c r="E116" s="180" t="s">
        <v>11</v>
      </c>
      <c r="F116" s="180">
        <f>B116*D116</f>
        <v>480590</v>
      </c>
      <c r="G116" s="183" t="s">
        <v>11</v>
      </c>
      <c r="H116" s="184"/>
    </row>
    <row r="117" spans="1:8" s="4" customFormat="1" ht="12.75">
      <c r="A117" s="185" t="s">
        <v>70</v>
      </c>
      <c r="B117" s="171">
        <f>ROUND((SUM(E117:H117)),0)</f>
        <v>480590</v>
      </c>
      <c r="C117" s="186" t="s">
        <v>73</v>
      </c>
      <c r="D117" s="187"/>
      <c r="E117" s="188">
        <f>SUM(E116:E116)</f>
        <v>0</v>
      </c>
      <c r="F117" s="188">
        <f>SUM(F116:F116)</f>
        <v>480590</v>
      </c>
      <c r="G117" s="188">
        <f>SUM(G116:G116)</f>
        <v>0</v>
      </c>
      <c r="H117" s="188">
        <f>SUM(H116:H116)</f>
        <v>0</v>
      </c>
    </row>
    <row r="119" spans="1:8">
      <c r="A119" s="158" t="s">
        <v>373</v>
      </c>
      <c r="B119" s="159"/>
      <c r="C119" s="160"/>
      <c r="D119" s="161"/>
      <c r="E119" s="159"/>
      <c r="F119" s="159"/>
      <c r="G119" s="159"/>
      <c r="H119" s="159"/>
    </row>
    <row r="120" spans="1:8">
      <c r="A120" s="158"/>
      <c r="B120" s="159"/>
      <c r="C120" s="160"/>
      <c r="D120" s="161"/>
      <c r="E120" s="162" t="s">
        <v>61</v>
      </c>
      <c r="F120" s="162" t="s">
        <v>62</v>
      </c>
      <c r="G120" s="162" t="s">
        <v>63</v>
      </c>
      <c r="H120" s="162" t="s">
        <v>64</v>
      </c>
    </row>
    <row r="121" spans="1:8">
      <c r="A121" s="163" t="s">
        <v>374</v>
      </c>
      <c r="B121" s="164">
        <v>4</v>
      </c>
      <c r="C121" s="165" t="s">
        <v>8</v>
      </c>
      <c r="D121" s="166">
        <v>185000</v>
      </c>
      <c r="E121" s="163" t="s">
        <v>11</v>
      </c>
      <c r="F121" s="167">
        <f>B121*D121</f>
        <v>740000</v>
      </c>
      <c r="G121" s="166" t="s">
        <v>11</v>
      </c>
      <c r="H121" s="163" t="s">
        <v>11</v>
      </c>
    </row>
    <row r="122" spans="1:8">
      <c r="A122" s="163" t="s">
        <v>375</v>
      </c>
      <c r="B122" s="164">
        <v>8</v>
      </c>
      <c r="C122" s="165" t="s">
        <v>8</v>
      </c>
      <c r="D122" s="166">
        <v>10000</v>
      </c>
      <c r="E122" s="163"/>
      <c r="F122" s="167">
        <f>+B122*D122</f>
        <v>80000</v>
      </c>
      <c r="G122" s="166"/>
      <c r="H122" s="163"/>
    </row>
    <row r="123" spans="1:8">
      <c r="A123" s="163" t="s">
        <v>376</v>
      </c>
      <c r="B123" s="164">
        <v>1</v>
      </c>
      <c r="C123" s="165" t="s">
        <v>8</v>
      </c>
      <c r="D123" s="166">
        <v>25000</v>
      </c>
      <c r="E123" s="163"/>
      <c r="F123" s="167">
        <f>+B123*D123</f>
        <v>25000</v>
      </c>
      <c r="G123" s="166"/>
      <c r="H123" s="163"/>
    </row>
    <row r="124" spans="1:8">
      <c r="A124" s="163" t="s">
        <v>68</v>
      </c>
      <c r="B124" s="168">
        <v>1</v>
      </c>
      <c r="C124" s="165" t="s">
        <v>69</v>
      </c>
      <c r="D124" s="166">
        <v>170000</v>
      </c>
      <c r="E124" s="163" t="s">
        <v>11</v>
      </c>
      <c r="F124" s="167"/>
      <c r="G124" s="166">
        <f>B124*D124</f>
        <v>170000</v>
      </c>
      <c r="H124" s="163" t="s">
        <v>11</v>
      </c>
    </row>
    <row r="125" spans="1:8">
      <c r="A125" s="170" t="s">
        <v>70</v>
      </c>
      <c r="B125" s="171">
        <f>ROUND((SUM(E125:H125)),0)</f>
        <v>1015000</v>
      </c>
      <c r="C125" s="172" t="s">
        <v>83</v>
      </c>
      <c r="D125" s="173"/>
      <c r="E125" s="169">
        <f>SUM(E121:E124)</f>
        <v>0</v>
      </c>
      <c r="F125" s="169">
        <f>SUM(F121:F124)</f>
        <v>845000</v>
      </c>
      <c r="G125" s="169">
        <f>SUM(G121:G124)</f>
        <v>170000</v>
      </c>
      <c r="H125" s="169">
        <f>SUM(H121:H124)</f>
        <v>0</v>
      </c>
    </row>
    <row r="127" spans="1:8" s="4" customFormat="1" ht="12.75">
      <c r="A127" s="158" t="s">
        <v>377</v>
      </c>
      <c r="B127" s="159"/>
      <c r="C127" s="160"/>
      <c r="D127" s="161"/>
      <c r="E127" s="159"/>
      <c r="F127" s="159"/>
      <c r="G127" s="159"/>
      <c r="H127" s="159"/>
    </row>
    <row r="128" spans="1:8" s="4" customFormat="1" ht="12.75">
      <c r="A128" s="158"/>
      <c r="B128" s="159"/>
      <c r="C128" s="160"/>
      <c r="D128" s="161"/>
      <c r="E128" s="162" t="s">
        <v>61</v>
      </c>
      <c r="F128" s="162" t="s">
        <v>62</v>
      </c>
      <c r="G128" s="162" t="s">
        <v>63</v>
      </c>
      <c r="H128" s="162" t="s">
        <v>64</v>
      </c>
    </row>
    <row r="129" spans="1:8" s="121" customFormat="1">
      <c r="A129" s="175" t="s">
        <v>378</v>
      </c>
      <c r="B129" s="164">
        <v>1</v>
      </c>
      <c r="C129" s="165" t="s">
        <v>8</v>
      </c>
      <c r="D129" s="166">
        <v>6000000</v>
      </c>
      <c r="E129" s="163" t="s">
        <v>11</v>
      </c>
      <c r="F129" s="167">
        <f t="shared" ref="F129:F134" si="1">B129*D129</f>
        <v>6000000</v>
      </c>
      <c r="G129" s="166" t="s">
        <v>11</v>
      </c>
      <c r="H129" s="163" t="s">
        <v>11</v>
      </c>
    </row>
    <row r="130" spans="1:8" s="121" customFormat="1">
      <c r="A130" s="175" t="s">
        <v>379</v>
      </c>
      <c r="B130" s="164">
        <v>1</v>
      </c>
      <c r="C130" s="165" t="s">
        <v>8</v>
      </c>
      <c r="D130" s="166">
        <v>1000000</v>
      </c>
      <c r="E130" s="163" t="s">
        <v>11</v>
      </c>
      <c r="F130" s="167">
        <f t="shared" si="1"/>
        <v>1000000</v>
      </c>
      <c r="G130" s="166" t="s">
        <v>11</v>
      </c>
      <c r="H130" s="163" t="s">
        <v>11</v>
      </c>
    </row>
    <row r="131" spans="1:8" s="121" customFormat="1">
      <c r="A131" s="175" t="s">
        <v>380</v>
      </c>
      <c r="B131" s="164">
        <v>1</v>
      </c>
      <c r="C131" s="165" t="s">
        <v>8</v>
      </c>
      <c r="D131" s="166">
        <v>5000000</v>
      </c>
      <c r="E131" s="163" t="s">
        <v>11</v>
      </c>
      <c r="F131" s="167">
        <f t="shared" si="1"/>
        <v>5000000</v>
      </c>
      <c r="G131" s="166" t="s">
        <v>11</v>
      </c>
      <c r="H131" s="163" t="s">
        <v>11</v>
      </c>
    </row>
    <row r="132" spans="1:8" s="121" customFormat="1">
      <c r="A132" s="175" t="s">
        <v>381</v>
      </c>
      <c r="B132" s="164">
        <v>4</v>
      </c>
      <c r="C132" s="165" t="s">
        <v>8</v>
      </c>
      <c r="D132" s="166">
        <v>150000</v>
      </c>
      <c r="E132" s="163"/>
      <c r="F132" s="167">
        <f t="shared" si="1"/>
        <v>600000</v>
      </c>
      <c r="G132" s="166"/>
      <c r="H132" s="163"/>
    </row>
    <row r="133" spans="1:8" s="121" customFormat="1">
      <c r="A133" s="175" t="s">
        <v>382</v>
      </c>
      <c r="B133" s="164">
        <v>1</v>
      </c>
      <c r="C133" s="165" t="s">
        <v>8</v>
      </c>
      <c r="D133" s="166">
        <v>300000</v>
      </c>
      <c r="E133" s="163"/>
      <c r="F133" s="167">
        <f t="shared" si="1"/>
        <v>300000</v>
      </c>
      <c r="G133" s="166"/>
      <c r="H133" s="163"/>
    </row>
    <row r="134" spans="1:8" s="134" customFormat="1" ht="25.5">
      <c r="A134" s="189" t="s">
        <v>383</v>
      </c>
      <c r="B134" s="190">
        <v>1</v>
      </c>
      <c r="C134" s="191" t="s">
        <v>8</v>
      </c>
      <c r="D134" s="192">
        <v>2000000</v>
      </c>
      <c r="E134" s="193"/>
      <c r="F134" s="194">
        <f t="shared" si="1"/>
        <v>2000000</v>
      </c>
      <c r="G134" s="192"/>
      <c r="H134" s="193"/>
    </row>
    <row r="135" spans="1:8" s="121" customFormat="1">
      <c r="A135" s="175" t="s">
        <v>68</v>
      </c>
      <c r="B135" s="168">
        <v>7</v>
      </c>
      <c r="C135" s="165" t="s">
        <v>69</v>
      </c>
      <c r="D135" s="166">
        <v>170000</v>
      </c>
      <c r="E135" s="163" t="s">
        <v>11</v>
      </c>
      <c r="F135" s="163" t="s">
        <v>11</v>
      </c>
      <c r="G135" s="166">
        <f>B135*D135</f>
        <v>1190000</v>
      </c>
      <c r="H135" s="163" t="s">
        <v>11</v>
      </c>
    </row>
    <row r="136" spans="1:8" s="4" customFormat="1" ht="12.75">
      <c r="A136" s="170" t="s">
        <v>70</v>
      </c>
      <c r="B136" s="171">
        <f>ROUND((SUM(E136:H136)),0)</f>
        <v>16090000</v>
      </c>
      <c r="C136" s="172" t="s">
        <v>73</v>
      </c>
      <c r="D136" s="173"/>
      <c r="E136" s="169">
        <f>SUM(E129:E135)</f>
        <v>0</v>
      </c>
      <c r="F136" s="169">
        <f>SUM(F129:F135)</f>
        <v>14900000</v>
      </c>
      <c r="G136" s="169">
        <f>SUM(G129:G135)</f>
        <v>1190000</v>
      </c>
      <c r="H136" s="169">
        <f>SUM(H129:H135)</f>
        <v>0</v>
      </c>
    </row>
    <row r="138" spans="1:8" s="4" customFormat="1" ht="12.75">
      <c r="A138" s="158" t="s">
        <v>384</v>
      </c>
      <c r="B138" s="159"/>
      <c r="C138" s="160"/>
      <c r="D138" s="161"/>
      <c r="E138" s="159"/>
      <c r="F138" s="159"/>
      <c r="G138" s="159"/>
      <c r="H138" s="159"/>
    </row>
    <row r="139" spans="1:8" s="4" customFormat="1" ht="12.75">
      <c r="A139" s="158"/>
      <c r="B139" s="159"/>
      <c r="C139" s="160"/>
      <c r="D139" s="161"/>
      <c r="E139" s="162" t="s">
        <v>61</v>
      </c>
      <c r="F139" s="162" t="s">
        <v>62</v>
      </c>
      <c r="G139" s="162" t="s">
        <v>63</v>
      </c>
      <c r="H139" s="162" t="s">
        <v>64</v>
      </c>
    </row>
    <row r="140" spans="1:8" s="121" customFormat="1">
      <c r="A140" s="175" t="s">
        <v>385</v>
      </c>
      <c r="B140" s="164">
        <v>1</v>
      </c>
      <c r="C140" s="165" t="s">
        <v>8</v>
      </c>
      <c r="D140" s="166">
        <v>2000000</v>
      </c>
      <c r="E140" s="163" t="s">
        <v>11</v>
      </c>
      <c r="F140" s="167">
        <f>B140*D140</f>
        <v>2000000</v>
      </c>
      <c r="G140" s="166" t="s">
        <v>11</v>
      </c>
      <c r="H140" s="163" t="s">
        <v>11</v>
      </c>
    </row>
    <row r="141" spans="1:8" s="121" customFormat="1">
      <c r="A141" s="175" t="s">
        <v>386</v>
      </c>
      <c r="B141" s="164">
        <v>1</v>
      </c>
      <c r="C141" s="165" t="s">
        <v>8</v>
      </c>
      <c r="D141" s="166">
        <v>125000</v>
      </c>
      <c r="E141" s="163"/>
      <c r="F141" s="167">
        <f>B141*D141</f>
        <v>125000</v>
      </c>
      <c r="G141" s="166"/>
      <c r="H141" s="163"/>
    </row>
    <row r="142" spans="1:8" s="121" customFormat="1">
      <c r="A142" s="175" t="s">
        <v>387</v>
      </c>
      <c r="B142" s="164">
        <v>1</v>
      </c>
      <c r="C142" s="165" t="s">
        <v>8</v>
      </c>
      <c r="D142" s="166">
        <v>140000</v>
      </c>
      <c r="E142" s="163"/>
      <c r="F142" s="167">
        <f>B142*D142</f>
        <v>140000</v>
      </c>
      <c r="G142" s="166"/>
      <c r="H142" s="163"/>
    </row>
    <row r="143" spans="1:8" s="121" customFormat="1">
      <c r="A143" s="175" t="s">
        <v>388</v>
      </c>
      <c r="B143" s="164">
        <v>1</v>
      </c>
      <c r="C143" s="165" t="s">
        <v>8</v>
      </c>
      <c r="D143" s="166">
        <v>150000</v>
      </c>
      <c r="E143" s="163"/>
      <c r="F143" s="167">
        <f>B143*D143</f>
        <v>150000</v>
      </c>
      <c r="G143" s="166"/>
      <c r="H143" s="163"/>
    </row>
    <row r="144" spans="1:8" s="121" customFormat="1">
      <c r="A144" s="175" t="s">
        <v>389</v>
      </c>
      <c r="B144" s="164">
        <v>1</v>
      </c>
      <c r="C144" s="165" t="s">
        <v>8</v>
      </c>
      <c r="D144" s="166">
        <v>150000</v>
      </c>
      <c r="E144" s="163"/>
      <c r="F144" s="167">
        <f>B144*D144</f>
        <v>150000</v>
      </c>
      <c r="G144" s="166"/>
      <c r="H144" s="163"/>
    </row>
    <row r="145" spans="1:8" s="121" customFormat="1">
      <c r="A145" s="175" t="s">
        <v>68</v>
      </c>
      <c r="B145" s="168">
        <v>2.5</v>
      </c>
      <c r="C145" s="165" t="s">
        <v>69</v>
      </c>
      <c r="D145" s="166">
        <v>170000</v>
      </c>
      <c r="E145" s="163" t="s">
        <v>11</v>
      </c>
      <c r="F145" s="163" t="s">
        <v>11</v>
      </c>
      <c r="G145" s="166">
        <f>B145*D145</f>
        <v>425000</v>
      </c>
      <c r="H145" s="163" t="s">
        <v>11</v>
      </c>
    </row>
    <row r="146" spans="1:8" s="4" customFormat="1" ht="12.75">
      <c r="A146" s="170" t="s">
        <v>70</v>
      </c>
      <c r="B146" s="171">
        <f>ROUND((SUM(E146:H146)),0)</f>
        <v>2990000</v>
      </c>
      <c r="C146" s="172" t="s">
        <v>73</v>
      </c>
      <c r="D146" s="173"/>
      <c r="E146" s="169">
        <f>SUM(E140:E145)</f>
        <v>0</v>
      </c>
      <c r="F146" s="169">
        <f>SUM(F140:F145)</f>
        <v>2565000</v>
      </c>
      <c r="G146" s="169">
        <f>SUM(G140:G145)</f>
        <v>425000</v>
      </c>
      <c r="H146" s="169">
        <f>SUM(H140:H145)</f>
        <v>0</v>
      </c>
    </row>
    <row r="148" spans="1:8" s="4" customFormat="1" ht="12.75">
      <c r="A148" s="158" t="s">
        <v>390</v>
      </c>
      <c r="B148" s="159"/>
      <c r="C148" s="160"/>
      <c r="D148" s="161"/>
      <c r="E148" s="159"/>
      <c r="F148" s="159"/>
      <c r="G148" s="159"/>
      <c r="H148" s="159"/>
    </row>
    <row r="149" spans="1:8" s="4" customFormat="1" ht="12.75">
      <c r="A149" s="158"/>
      <c r="B149" s="159"/>
      <c r="C149" s="160"/>
      <c r="D149" s="161"/>
      <c r="E149" s="162" t="s">
        <v>61</v>
      </c>
      <c r="F149" s="162" t="s">
        <v>62</v>
      </c>
      <c r="G149" s="162" t="s">
        <v>63</v>
      </c>
      <c r="H149" s="162" t="s">
        <v>64</v>
      </c>
    </row>
    <row r="150" spans="1:8" s="4" customFormat="1" ht="12.75">
      <c r="A150" s="163" t="s">
        <v>391</v>
      </c>
      <c r="B150" s="164">
        <v>1</v>
      </c>
      <c r="C150" s="165" t="s">
        <v>49</v>
      </c>
      <c r="D150" s="166">
        <v>51063200</v>
      </c>
      <c r="E150" s="163" t="s">
        <v>11</v>
      </c>
      <c r="F150" s="167">
        <f>B150*D150</f>
        <v>51063200</v>
      </c>
      <c r="G150" s="166" t="s">
        <v>11</v>
      </c>
      <c r="H150" s="163" t="s">
        <v>11</v>
      </c>
    </row>
    <row r="151" spans="1:8" s="4" customFormat="1" ht="12.75">
      <c r="A151" s="163" t="s">
        <v>68</v>
      </c>
      <c r="B151" s="164">
        <v>20</v>
      </c>
      <c r="C151" s="165" t="s">
        <v>69</v>
      </c>
      <c r="D151" s="166">
        <v>170000</v>
      </c>
      <c r="E151" s="163" t="s">
        <v>11</v>
      </c>
      <c r="F151" s="163" t="s">
        <v>11</v>
      </c>
      <c r="G151" s="166">
        <f>B151*D151</f>
        <v>3400000</v>
      </c>
      <c r="H151" s="163" t="s">
        <v>11</v>
      </c>
    </row>
    <row r="152" spans="1:8" s="4" customFormat="1" ht="12.75">
      <c r="A152" s="170" t="s">
        <v>70</v>
      </c>
      <c r="B152" s="171">
        <f>ROUND((SUM(E152:H152)),0)</f>
        <v>54463200</v>
      </c>
      <c r="C152" s="172" t="s">
        <v>73</v>
      </c>
      <c r="D152" s="173"/>
      <c r="E152" s="169">
        <f>SUM(E150:E151)</f>
        <v>0</v>
      </c>
      <c r="F152" s="169">
        <f>SUM(F150:F151)</f>
        <v>51063200</v>
      </c>
      <c r="G152" s="169">
        <f>SUM(G150:G151)</f>
        <v>3400000</v>
      </c>
      <c r="H152" s="169">
        <f>SUM(H150:H151)</f>
        <v>0</v>
      </c>
    </row>
    <row r="154" spans="1:8" s="4" customFormat="1" ht="12.75">
      <c r="A154" s="158" t="s">
        <v>392</v>
      </c>
      <c r="B154" s="159"/>
      <c r="C154" s="160"/>
      <c r="D154" s="161"/>
      <c r="E154" s="159"/>
      <c r="F154" s="159"/>
      <c r="G154" s="159"/>
      <c r="H154" s="159"/>
    </row>
    <row r="155" spans="1:8" s="4" customFormat="1" ht="12.75">
      <c r="A155" s="158"/>
      <c r="B155" s="159"/>
      <c r="C155" s="160"/>
      <c r="D155" s="161"/>
      <c r="E155" s="162" t="s">
        <v>61</v>
      </c>
      <c r="F155" s="162" t="s">
        <v>62</v>
      </c>
      <c r="G155" s="162" t="s">
        <v>63</v>
      </c>
      <c r="H155" s="162" t="s">
        <v>64</v>
      </c>
    </row>
    <row r="156" spans="1:8" s="4" customFormat="1" ht="12.75">
      <c r="A156" s="163" t="s">
        <v>393</v>
      </c>
      <c r="B156" s="164">
        <v>8</v>
      </c>
      <c r="C156" s="165" t="s">
        <v>18</v>
      </c>
      <c r="D156" s="166">
        <v>19000</v>
      </c>
      <c r="E156" s="163"/>
      <c r="F156" s="167">
        <f>B156*D156</f>
        <v>152000</v>
      </c>
      <c r="G156" s="166"/>
      <c r="H156" s="163"/>
    </row>
    <row r="157" spans="1:8" s="4" customFormat="1" ht="12.75">
      <c r="A157" s="163" t="s">
        <v>394</v>
      </c>
      <c r="B157" s="164">
        <v>2</v>
      </c>
      <c r="C157" s="165" t="s">
        <v>18</v>
      </c>
      <c r="D157" s="166">
        <v>15000</v>
      </c>
      <c r="E157" s="163"/>
      <c r="F157" s="167"/>
      <c r="G157" s="166"/>
      <c r="H157" s="163"/>
    </row>
    <row r="158" spans="1:8" s="4" customFormat="1" ht="12.75">
      <c r="A158" s="175" t="s">
        <v>67</v>
      </c>
      <c r="B158" s="164">
        <v>1</v>
      </c>
      <c r="C158" s="165" t="s">
        <v>66</v>
      </c>
      <c r="D158" s="166">
        <v>8800</v>
      </c>
      <c r="E158" s="163" t="s">
        <v>11</v>
      </c>
      <c r="F158" s="167">
        <f>B158*D158</f>
        <v>8800</v>
      </c>
      <c r="G158" s="166" t="s">
        <v>11</v>
      </c>
      <c r="H158" s="163" t="s">
        <v>11</v>
      </c>
    </row>
    <row r="159" spans="1:8" s="4" customFormat="1" ht="12.75">
      <c r="A159" s="175" t="s">
        <v>68</v>
      </c>
      <c r="B159" s="177">
        <v>0.135294</v>
      </c>
      <c r="C159" s="165" t="s">
        <v>69</v>
      </c>
      <c r="D159" s="166">
        <v>170000</v>
      </c>
      <c r="E159" s="163" t="s">
        <v>11</v>
      </c>
      <c r="F159" s="163" t="s">
        <v>11</v>
      </c>
      <c r="G159" s="166">
        <f>B159*D159</f>
        <v>22999.98</v>
      </c>
      <c r="H159" s="163" t="s">
        <v>11</v>
      </c>
    </row>
    <row r="160" spans="1:8" s="4" customFormat="1" ht="12.75">
      <c r="A160" s="170" t="s">
        <v>70</v>
      </c>
      <c r="B160" s="171">
        <f>ROUND((SUM(E160:H160)),0)</f>
        <v>183800</v>
      </c>
      <c r="C160" s="172" t="s">
        <v>71</v>
      </c>
      <c r="D160" s="173"/>
      <c r="E160" s="169">
        <f>SUM(E156:E159)</f>
        <v>0</v>
      </c>
      <c r="F160" s="169">
        <f>SUM(F156:F159)</f>
        <v>160800</v>
      </c>
      <c r="G160" s="169">
        <f>SUM(G156:G159)</f>
        <v>22999.98</v>
      </c>
      <c r="H160" s="169">
        <f>SUM(H156:H159)</f>
        <v>0</v>
      </c>
    </row>
    <row r="162" spans="1:8" s="4" customFormat="1" ht="12.75">
      <c r="A162" s="158" t="s">
        <v>395</v>
      </c>
      <c r="B162" s="159"/>
      <c r="C162" s="160"/>
      <c r="D162" s="161"/>
      <c r="E162" s="159"/>
      <c r="F162" s="159"/>
      <c r="G162" s="159"/>
      <c r="H162" s="159"/>
    </row>
    <row r="163" spans="1:8" s="4" customFormat="1" ht="12.75">
      <c r="A163" s="158"/>
      <c r="B163" s="159"/>
      <c r="C163" s="160"/>
      <c r="D163" s="161"/>
      <c r="E163" s="162" t="s">
        <v>61</v>
      </c>
      <c r="F163" s="162" t="s">
        <v>62</v>
      </c>
      <c r="G163" s="162" t="s">
        <v>63</v>
      </c>
      <c r="H163" s="162" t="s">
        <v>64</v>
      </c>
    </row>
    <row r="164" spans="1:8" s="4" customFormat="1" ht="12.75">
      <c r="A164" s="180" t="s">
        <v>152</v>
      </c>
      <c r="B164" s="181">
        <v>4</v>
      </c>
      <c r="C164" s="182" t="s">
        <v>49</v>
      </c>
      <c r="D164" s="183">
        <v>115000</v>
      </c>
      <c r="E164" s="180" t="s">
        <v>11</v>
      </c>
      <c r="F164" s="184">
        <f>B164*D164</f>
        <v>460000</v>
      </c>
      <c r="G164" s="183" t="s">
        <v>11</v>
      </c>
      <c r="H164" s="180" t="s">
        <v>11</v>
      </c>
    </row>
    <row r="165" spans="1:8" s="4" customFormat="1" ht="12.75">
      <c r="A165" s="180" t="s">
        <v>153</v>
      </c>
      <c r="B165" s="181">
        <v>30</v>
      </c>
      <c r="C165" s="182" t="s">
        <v>66</v>
      </c>
      <c r="D165" s="183">
        <v>20825</v>
      </c>
      <c r="E165" s="180" t="s">
        <v>11</v>
      </c>
      <c r="F165" s="184">
        <f>B165*D165</f>
        <v>624750</v>
      </c>
      <c r="G165" s="183" t="s">
        <v>11</v>
      </c>
      <c r="H165" s="180" t="s">
        <v>11</v>
      </c>
    </row>
    <row r="166" spans="1:8" s="4" customFormat="1" ht="12.75">
      <c r="A166" s="180" t="s">
        <v>80</v>
      </c>
      <c r="B166" s="181">
        <v>480</v>
      </c>
      <c r="C166" s="182" t="s">
        <v>154</v>
      </c>
      <c r="D166" s="180">
        <v>300</v>
      </c>
      <c r="E166" s="180" t="s">
        <v>11</v>
      </c>
      <c r="F166" s="184">
        <f>B166*D166</f>
        <v>144000</v>
      </c>
      <c r="G166" s="183" t="s">
        <v>11</v>
      </c>
      <c r="H166" s="180" t="s">
        <v>11</v>
      </c>
    </row>
    <row r="167" spans="1:8" s="4" customFormat="1" ht="12.75">
      <c r="A167" s="180" t="s">
        <v>155</v>
      </c>
      <c r="B167" s="181">
        <v>4</v>
      </c>
      <c r="C167" s="182" t="s">
        <v>49</v>
      </c>
      <c r="D167" s="183">
        <v>70000</v>
      </c>
      <c r="E167" s="180" t="s">
        <v>11</v>
      </c>
      <c r="F167" s="184">
        <f>B167*D167</f>
        <v>280000</v>
      </c>
      <c r="G167" s="183" t="s">
        <v>11</v>
      </c>
      <c r="H167" s="180" t="s">
        <v>11</v>
      </c>
    </row>
    <row r="168" spans="1:8" s="4" customFormat="1" ht="12.75">
      <c r="A168" s="180" t="s">
        <v>68</v>
      </c>
      <c r="B168" s="181">
        <v>6</v>
      </c>
      <c r="C168" s="182" t="s">
        <v>69</v>
      </c>
      <c r="D168" s="183">
        <v>170000</v>
      </c>
      <c r="E168" s="180" t="s">
        <v>11</v>
      </c>
      <c r="F168" s="180" t="s">
        <v>11</v>
      </c>
      <c r="G168" s="183">
        <f>B168*D168</f>
        <v>1020000</v>
      </c>
      <c r="H168" s="180" t="s">
        <v>11</v>
      </c>
    </row>
    <row r="169" spans="1:8" s="4" customFormat="1" ht="12.75">
      <c r="A169" s="170" t="s">
        <v>70</v>
      </c>
      <c r="B169" s="171">
        <f>ROUND((SUM(E169:H169)),0)</f>
        <v>2528750</v>
      </c>
      <c r="C169" s="172" t="s">
        <v>73</v>
      </c>
      <c r="D169" s="173"/>
      <c r="E169" s="169">
        <f>SUM(E164:E168)</f>
        <v>0</v>
      </c>
      <c r="F169" s="169">
        <f>SUM(F164:F168)</f>
        <v>1508750</v>
      </c>
      <c r="G169" s="169">
        <f>SUM(G164:G168)</f>
        <v>1020000</v>
      </c>
      <c r="H169" s="169">
        <f>SUM(H164:H168)</f>
        <v>0</v>
      </c>
    </row>
    <row r="171" spans="1:8" s="4" customFormat="1" ht="12.75">
      <c r="A171" s="158" t="s">
        <v>396</v>
      </c>
      <c r="B171" s="159"/>
      <c r="C171" s="160"/>
      <c r="D171" s="161"/>
      <c r="E171" s="159"/>
      <c r="F171" s="159"/>
      <c r="G171" s="159"/>
      <c r="H171" s="159"/>
    </row>
    <row r="172" spans="1:8" s="4" customFormat="1" ht="12.75">
      <c r="A172" s="158"/>
      <c r="B172" s="159"/>
      <c r="C172" s="160"/>
      <c r="D172" s="161"/>
      <c r="E172" s="162" t="s">
        <v>61</v>
      </c>
      <c r="F172" s="162" t="s">
        <v>62</v>
      </c>
      <c r="G172" s="162" t="s">
        <v>63</v>
      </c>
      <c r="H172" s="162" t="s">
        <v>64</v>
      </c>
    </row>
    <row r="173" spans="1:8" s="4" customFormat="1" ht="12.75">
      <c r="A173" s="163" t="s">
        <v>91</v>
      </c>
      <c r="B173" s="164">
        <v>2</v>
      </c>
      <c r="C173" s="165" t="s">
        <v>49</v>
      </c>
      <c r="D173" s="166">
        <v>4000000</v>
      </c>
      <c r="E173" s="163" t="s">
        <v>11</v>
      </c>
      <c r="F173" s="167">
        <f t="shared" ref="F173:F179" si="2">B173*D173</f>
        <v>8000000</v>
      </c>
      <c r="G173" s="166" t="s">
        <v>11</v>
      </c>
      <c r="H173" s="163" t="s">
        <v>11</v>
      </c>
    </row>
    <row r="174" spans="1:8" s="4" customFormat="1" ht="12.75">
      <c r="A174" s="163" t="s">
        <v>397</v>
      </c>
      <c r="B174" s="164">
        <v>1</v>
      </c>
      <c r="C174" s="165" t="s">
        <v>8</v>
      </c>
      <c r="D174" s="166">
        <v>1800000</v>
      </c>
      <c r="E174" s="163"/>
      <c r="F174" s="167">
        <f t="shared" si="2"/>
        <v>1800000</v>
      </c>
      <c r="G174" s="166"/>
      <c r="H174" s="163"/>
    </row>
    <row r="175" spans="1:8" s="4" customFormat="1" ht="12.75">
      <c r="A175" s="163" t="s">
        <v>92</v>
      </c>
      <c r="B175" s="164">
        <v>1</v>
      </c>
      <c r="C175" s="165" t="s">
        <v>49</v>
      </c>
      <c r="D175" s="166">
        <v>150000</v>
      </c>
      <c r="E175" s="163" t="s">
        <v>11</v>
      </c>
      <c r="F175" s="167">
        <f t="shared" si="2"/>
        <v>150000</v>
      </c>
      <c r="G175" s="166" t="s">
        <v>11</v>
      </c>
      <c r="H175" s="163" t="s">
        <v>11</v>
      </c>
    </row>
    <row r="176" spans="1:8" s="4" customFormat="1" ht="12.75">
      <c r="A176" s="163" t="s">
        <v>93</v>
      </c>
      <c r="B176" s="164">
        <v>64</v>
      </c>
      <c r="C176" s="165" t="s">
        <v>49</v>
      </c>
      <c r="D176" s="166">
        <v>320000</v>
      </c>
      <c r="E176" s="163" t="s">
        <v>11</v>
      </c>
      <c r="F176" s="167">
        <f t="shared" si="2"/>
        <v>20480000</v>
      </c>
      <c r="G176" s="166" t="s">
        <v>11</v>
      </c>
      <c r="H176" s="163" t="s">
        <v>11</v>
      </c>
    </row>
    <row r="177" spans="1:8" s="4" customFormat="1" ht="12.75">
      <c r="A177" s="163" t="s">
        <v>398</v>
      </c>
      <c r="B177" s="164">
        <v>1</v>
      </c>
      <c r="C177" s="165" t="s">
        <v>8</v>
      </c>
      <c r="D177" s="166">
        <v>300000</v>
      </c>
      <c r="E177" s="163"/>
      <c r="F177" s="167">
        <f t="shared" si="2"/>
        <v>300000</v>
      </c>
      <c r="G177" s="166"/>
      <c r="H177" s="163"/>
    </row>
    <row r="178" spans="1:8" s="4" customFormat="1" ht="12.75">
      <c r="A178" s="163" t="s">
        <v>399</v>
      </c>
      <c r="B178" s="164">
        <v>64</v>
      </c>
      <c r="C178" s="165" t="s">
        <v>8</v>
      </c>
      <c r="D178" s="166">
        <v>20750</v>
      </c>
      <c r="E178" s="163"/>
      <c r="F178" s="167">
        <f t="shared" si="2"/>
        <v>1328000</v>
      </c>
      <c r="G178" s="166"/>
      <c r="H178" s="163"/>
    </row>
    <row r="179" spans="1:8" s="4" customFormat="1" ht="12.75">
      <c r="A179" s="163" t="s">
        <v>400</v>
      </c>
      <c r="B179" s="164">
        <v>1</v>
      </c>
      <c r="C179" s="165" t="s">
        <v>8</v>
      </c>
      <c r="D179" s="166">
        <v>30350</v>
      </c>
      <c r="E179" s="163"/>
      <c r="F179" s="167">
        <f t="shared" si="2"/>
        <v>30350</v>
      </c>
      <c r="G179" s="166"/>
      <c r="H179" s="163"/>
    </row>
    <row r="180" spans="1:8" s="4" customFormat="1" ht="12.75">
      <c r="A180" s="163" t="s">
        <v>68</v>
      </c>
      <c r="B180" s="164">
        <v>18</v>
      </c>
      <c r="C180" s="165" t="s">
        <v>69</v>
      </c>
      <c r="D180" s="166">
        <v>170000</v>
      </c>
      <c r="E180" s="163" t="s">
        <v>11</v>
      </c>
      <c r="F180" s="163" t="s">
        <v>11</v>
      </c>
      <c r="G180" s="166">
        <f>B180*D180</f>
        <v>3060000</v>
      </c>
      <c r="H180" s="163" t="s">
        <v>11</v>
      </c>
    </row>
    <row r="181" spans="1:8" s="4" customFormat="1" ht="12.75">
      <c r="A181" s="170" t="s">
        <v>70</v>
      </c>
      <c r="B181" s="171">
        <f>ROUND((SUM(E181:H181)),0)</f>
        <v>35148350</v>
      </c>
      <c r="C181" s="172" t="s">
        <v>73</v>
      </c>
      <c r="D181" s="173"/>
      <c r="E181" s="169">
        <f>SUM(E173:E180)</f>
        <v>0</v>
      </c>
      <c r="F181" s="169">
        <f>SUM(F173:F180)</f>
        <v>32088350</v>
      </c>
      <c r="G181" s="169">
        <f>SUM(G173:G180)</f>
        <v>3060000</v>
      </c>
      <c r="H181" s="169">
        <f>SUM(H173:H180)</f>
        <v>0</v>
      </c>
    </row>
    <row r="183" spans="1:8" s="4" customFormat="1" ht="12.75">
      <c r="A183" s="158" t="s">
        <v>401</v>
      </c>
      <c r="B183" s="159"/>
      <c r="C183" s="160"/>
      <c r="D183" s="161"/>
      <c r="E183" s="159"/>
      <c r="F183" s="159"/>
      <c r="G183" s="159"/>
      <c r="H183" s="159"/>
    </row>
    <row r="184" spans="1:8" s="4" customFormat="1" ht="12.75">
      <c r="A184" s="158"/>
      <c r="B184" s="159"/>
      <c r="C184" s="160"/>
      <c r="D184" s="161"/>
      <c r="E184" s="162" t="s">
        <v>61</v>
      </c>
      <c r="F184" s="162" t="s">
        <v>62</v>
      </c>
      <c r="G184" s="162" t="s">
        <v>63</v>
      </c>
      <c r="H184" s="162" t="s">
        <v>64</v>
      </c>
    </row>
    <row r="185" spans="1:8" s="4" customFormat="1" ht="12.75">
      <c r="A185" s="163" t="s">
        <v>402</v>
      </c>
      <c r="B185" s="164">
        <v>1</v>
      </c>
      <c r="C185" s="165" t="s">
        <v>49</v>
      </c>
      <c r="D185" s="166">
        <v>215000</v>
      </c>
      <c r="E185" s="163" t="s">
        <v>11</v>
      </c>
      <c r="F185" s="167">
        <f>B185*D185</f>
        <v>215000</v>
      </c>
      <c r="G185" s="166" t="s">
        <v>11</v>
      </c>
      <c r="H185" s="163" t="s">
        <v>11</v>
      </c>
    </row>
    <row r="186" spans="1:8" s="4" customFormat="1" ht="12.75">
      <c r="A186" s="163" t="s">
        <v>68</v>
      </c>
      <c r="B186" s="174">
        <v>0.45</v>
      </c>
      <c r="C186" s="165" t="s">
        <v>69</v>
      </c>
      <c r="D186" s="166">
        <v>170000</v>
      </c>
      <c r="E186" s="163" t="s">
        <v>11</v>
      </c>
      <c r="F186" s="163" t="s">
        <v>11</v>
      </c>
      <c r="G186" s="166">
        <f>B186*D186</f>
        <v>76500</v>
      </c>
      <c r="H186" s="163" t="s">
        <v>11</v>
      </c>
    </row>
    <row r="187" spans="1:8" s="4" customFormat="1" ht="12.75">
      <c r="A187" s="170" t="s">
        <v>70</v>
      </c>
      <c r="B187" s="171">
        <f>ROUND((SUM(E187:H187)),0)</f>
        <v>291500</v>
      </c>
      <c r="C187" s="172" t="s">
        <v>73</v>
      </c>
      <c r="D187" s="173"/>
      <c r="E187" s="169">
        <f>SUM(E185:E186)</f>
        <v>0</v>
      </c>
      <c r="F187" s="169">
        <f>SUM(F185:F186)</f>
        <v>215000</v>
      </c>
      <c r="G187" s="169">
        <f>SUM(G185:G186)</f>
        <v>76500</v>
      </c>
      <c r="H187" s="169">
        <f>SUM(H185:H186)</f>
        <v>0</v>
      </c>
    </row>
    <row r="189" spans="1:8" s="4" customFormat="1" ht="12.75">
      <c r="A189" s="158" t="s">
        <v>403</v>
      </c>
      <c r="B189" s="159"/>
      <c r="C189" s="160"/>
      <c r="D189" s="161"/>
      <c r="E189" s="159"/>
      <c r="F189" s="159"/>
      <c r="G189" s="159"/>
      <c r="H189" s="159"/>
    </row>
    <row r="190" spans="1:8" s="4" customFormat="1" ht="12.75">
      <c r="A190" s="158"/>
      <c r="B190" s="159"/>
      <c r="C190" s="160"/>
      <c r="D190" s="161"/>
      <c r="E190" s="162" t="s">
        <v>61</v>
      </c>
      <c r="F190" s="162" t="s">
        <v>62</v>
      </c>
      <c r="G190" s="162" t="s">
        <v>63</v>
      </c>
      <c r="H190" s="162" t="s">
        <v>64</v>
      </c>
    </row>
    <row r="191" spans="1:8" s="4" customFormat="1" ht="12.75">
      <c r="A191" s="163" t="s">
        <v>50</v>
      </c>
      <c r="B191" s="164">
        <v>1</v>
      </c>
      <c r="C191" s="165" t="s">
        <v>49</v>
      </c>
      <c r="D191" s="166">
        <v>135000</v>
      </c>
      <c r="E191" s="163" t="s">
        <v>11</v>
      </c>
      <c r="F191" s="167">
        <f>B191*D191</f>
        <v>135000</v>
      </c>
      <c r="G191" s="166" t="s">
        <v>11</v>
      </c>
      <c r="H191" s="163" t="s">
        <v>11</v>
      </c>
    </row>
    <row r="192" spans="1:8" s="4" customFormat="1" ht="12.75">
      <c r="A192" s="163" t="s">
        <v>68</v>
      </c>
      <c r="B192" s="174">
        <v>0.45</v>
      </c>
      <c r="C192" s="165" t="s">
        <v>69</v>
      </c>
      <c r="D192" s="166">
        <v>170000</v>
      </c>
      <c r="E192" s="163" t="s">
        <v>11</v>
      </c>
      <c r="F192" s="163" t="s">
        <v>11</v>
      </c>
      <c r="G192" s="166">
        <f>B192*D192</f>
        <v>76500</v>
      </c>
      <c r="H192" s="163" t="s">
        <v>11</v>
      </c>
    </row>
    <row r="193" spans="1:8" s="4" customFormat="1" ht="12.75">
      <c r="A193" s="170" t="s">
        <v>70</v>
      </c>
      <c r="B193" s="171">
        <f>ROUND((SUM(E193:H193)),0)</f>
        <v>211500</v>
      </c>
      <c r="C193" s="172" t="s">
        <v>73</v>
      </c>
      <c r="D193" s="173"/>
      <c r="E193" s="169">
        <f>SUM(E191:E192)</f>
        <v>0</v>
      </c>
      <c r="F193" s="169">
        <f>SUM(F191:F192)</f>
        <v>135000</v>
      </c>
      <c r="G193" s="169">
        <f>SUM(G191:G192)</f>
        <v>76500</v>
      </c>
      <c r="H193" s="169">
        <f>SUM(H191:H192)</f>
        <v>0</v>
      </c>
    </row>
    <row r="195" spans="1:8" s="4" customFormat="1" ht="12.75">
      <c r="A195" s="158" t="s">
        <v>404</v>
      </c>
      <c r="B195" s="159"/>
      <c r="C195" s="160"/>
      <c r="D195" s="161"/>
      <c r="E195" s="159"/>
      <c r="F195" s="159"/>
      <c r="G195" s="159"/>
      <c r="H195" s="159"/>
    </row>
    <row r="196" spans="1:8" s="4" customFormat="1" ht="12.75">
      <c r="A196" s="158"/>
      <c r="B196" s="159"/>
      <c r="C196" s="160"/>
      <c r="D196" s="161"/>
      <c r="E196" s="162" t="s">
        <v>61</v>
      </c>
      <c r="F196" s="162" t="s">
        <v>62</v>
      </c>
      <c r="G196" s="162" t="s">
        <v>63</v>
      </c>
      <c r="H196" s="162" t="s">
        <v>64</v>
      </c>
    </row>
    <row r="197" spans="1:8" s="4" customFormat="1" ht="12.75">
      <c r="A197" s="163" t="s">
        <v>45</v>
      </c>
      <c r="B197" s="164">
        <v>1</v>
      </c>
      <c r="C197" s="165" t="s">
        <v>49</v>
      </c>
      <c r="D197" s="166">
        <v>6500</v>
      </c>
      <c r="E197" s="163" t="s">
        <v>11</v>
      </c>
      <c r="F197" s="167">
        <f>B197*D197</f>
        <v>6500</v>
      </c>
      <c r="G197" s="166" t="s">
        <v>11</v>
      </c>
      <c r="H197" s="163" t="s">
        <v>11</v>
      </c>
    </row>
    <row r="198" spans="1:8" s="4" customFormat="1" ht="12.75">
      <c r="A198" s="163" t="s">
        <v>68</v>
      </c>
      <c r="B198" s="179">
        <v>8.8230000000000003E-2</v>
      </c>
      <c r="C198" s="165" t="s">
        <v>69</v>
      </c>
      <c r="D198" s="166">
        <v>170000</v>
      </c>
      <c r="E198" s="163" t="s">
        <v>11</v>
      </c>
      <c r="F198" s="163" t="s">
        <v>11</v>
      </c>
      <c r="G198" s="166">
        <f>B198*D198</f>
        <v>14999.1</v>
      </c>
      <c r="H198" s="163" t="s">
        <v>11</v>
      </c>
    </row>
    <row r="199" spans="1:8" s="4" customFormat="1" ht="12.75">
      <c r="A199" s="170" t="s">
        <v>70</v>
      </c>
      <c r="B199" s="171">
        <f>ROUND((SUM(E199:H199)),0)</f>
        <v>21499</v>
      </c>
      <c r="C199" s="172" t="s">
        <v>73</v>
      </c>
      <c r="D199" s="173"/>
      <c r="E199" s="169">
        <f>SUM(E197:E198)</f>
        <v>0</v>
      </c>
      <c r="F199" s="169">
        <f>SUM(F197:F198)</f>
        <v>6500</v>
      </c>
      <c r="G199" s="169">
        <f>SUM(G197:G198)</f>
        <v>14999.1</v>
      </c>
      <c r="H199" s="169">
        <f>SUM(H197:H198)</f>
        <v>0</v>
      </c>
    </row>
    <row r="200" spans="1:8" s="4" customFormat="1" ht="12.75">
      <c r="A200" s="64"/>
      <c r="B200" s="64"/>
      <c r="C200" s="65"/>
      <c r="D200" s="66"/>
      <c r="E200" s="64"/>
      <c r="F200" s="64"/>
      <c r="G200" s="64"/>
      <c r="H200" s="64"/>
    </row>
    <row r="201" spans="1:8" s="4" customFormat="1" ht="12.75">
      <c r="A201" s="158" t="s">
        <v>405</v>
      </c>
      <c r="B201" s="159"/>
      <c r="C201" s="160"/>
      <c r="D201" s="161"/>
      <c r="E201" s="159"/>
      <c r="F201" s="159"/>
      <c r="G201" s="159"/>
      <c r="H201" s="159"/>
    </row>
    <row r="202" spans="1:8" s="4" customFormat="1" ht="12.75">
      <c r="A202" s="158"/>
      <c r="B202" s="159"/>
      <c r="C202" s="160"/>
      <c r="D202" s="161"/>
      <c r="E202" s="162" t="s">
        <v>61</v>
      </c>
      <c r="F202" s="162" t="s">
        <v>62</v>
      </c>
      <c r="G202" s="162" t="s">
        <v>63</v>
      </c>
      <c r="H202" s="162" t="s">
        <v>64</v>
      </c>
    </row>
    <row r="203" spans="1:8" s="4" customFormat="1" ht="12.75">
      <c r="A203" s="163" t="s">
        <v>46</v>
      </c>
      <c r="B203" s="164">
        <v>1</v>
      </c>
      <c r="C203" s="165" t="s">
        <v>49</v>
      </c>
      <c r="D203" s="166">
        <v>6500</v>
      </c>
      <c r="E203" s="163" t="s">
        <v>11</v>
      </c>
      <c r="F203" s="167">
        <f>B203*D203</f>
        <v>6500</v>
      </c>
      <c r="G203" s="166" t="s">
        <v>11</v>
      </c>
      <c r="H203" s="163" t="s">
        <v>11</v>
      </c>
    </row>
    <row r="204" spans="1:8" s="4" customFormat="1" ht="12.75">
      <c r="A204" s="163" t="s">
        <v>68</v>
      </c>
      <c r="B204" s="179">
        <v>8.8230000000000003E-2</v>
      </c>
      <c r="C204" s="165" t="s">
        <v>69</v>
      </c>
      <c r="D204" s="166">
        <v>170000</v>
      </c>
      <c r="E204" s="163" t="s">
        <v>11</v>
      </c>
      <c r="F204" s="163" t="s">
        <v>11</v>
      </c>
      <c r="G204" s="166">
        <f>B204*D204</f>
        <v>14999.1</v>
      </c>
      <c r="H204" s="163" t="s">
        <v>11</v>
      </c>
    </row>
    <row r="205" spans="1:8" s="4" customFormat="1" ht="12.75">
      <c r="A205" s="170" t="s">
        <v>70</v>
      </c>
      <c r="B205" s="171">
        <f>ROUND((SUM(E205:H205)),0)</f>
        <v>21499</v>
      </c>
      <c r="C205" s="172" t="s">
        <v>73</v>
      </c>
      <c r="D205" s="173"/>
      <c r="E205" s="169">
        <f>SUM(E203:E204)</f>
        <v>0</v>
      </c>
      <c r="F205" s="169">
        <f>SUM(F203:F204)</f>
        <v>6500</v>
      </c>
      <c r="G205" s="169">
        <f>SUM(G203:G204)</f>
        <v>14999.1</v>
      </c>
      <c r="H205" s="169">
        <f>SUM(H203:H204)</f>
        <v>0</v>
      </c>
    </row>
    <row r="207" spans="1:8" s="4" customFormat="1" ht="12.75">
      <c r="A207" s="158" t="s">
        <v>406</v>
      </c>
      <c r="B207" s="159"/>
      <c r="C207" s="160"/>
      <c r="D207" s="161"/>
      <c r="E207" s="159"/>
      <c r="F207" s="159"/>
      <c r="G207" s="159"/>
      <c r="H207" s="159"/>
    </row>
    <row r="208" spans="1:8" s="4" customFormat="1" ht="12.75">
      <c r="A208" s="158"/>
      <c r="B208" s="159"/>
      <c r="C208" s="160"/>
      <c r="D208" s="161"/>
      <c r="E208" s="162" t="s">
        <v>61</v>
      </c>
      <c r="F208" s="162" t="s">
        <v>62</v>
      </c>
      <c r="G208" s="162" t="s">
        <v>63</v>
      </c>
      <c r="H208" s="162" t="s">
        <v>64</v>
      </c>
    </row>
    <row r="209" spans="1:8" s="4" customFormat="1" ht="12.75">
      <c r="A209" s="163" t="s">
        <v>216</v>
      </c>
      <c r="B209" s="164">
        <v>1</v>
      </c>
      <c r="C209" s="165" t="s">
        <v>49</v>
      </c>
      <c r="D209" s="166">
        <v>45000</v>
      </c>
      <c r="E209" s="163" t="s">
        <v>11</v>
      </c>
      <c r="F209" s="167">
        <f>B209*D209</f>
        <v>45000</v>
      </c>
      <c r="G209" s="166" t="s">
        <v>11</v>
      </c>
      <c r="H209" s="163" t="s">
        <v>11</v>
      </c>
    </row>
    <row r="210" spans="1:8" s="4" customFormat="1" ht="12.75">
      <c r="A210" s="163" t="s">
        <v>68</v>
      </c>
      <c r="B210" s="179">
        <v>0.11774999999999999</v>
      </c>
      <c r="C210" s="165" t="s">
        <v>69</v>
      </c>
      <c r="D210" s="166">
        <v>170000</v>
      </c>
      <c r="E210" s="163" t="s">
        <v>11</v>
      </c>
      <c r="F210" s="163" t="s">
        <v>11</v>
      </c>
      <c r="G210" s="166">
        <f>B210*D210</f>
        <v>20017.5</v>
      </c>
      <c r="H210" s="163" t="s">
        <v>11</v>
      </c>
    </row>
    <row r="211" spans="1:8" s="4" customFormat="1" ht="12.75">
      <c r="A211" s="170" t="s">
        <v>70</v>
      </c>
      <c r="B211" s="171">
        <f>ROUND((SUM(E211:H211)),0)</f>
        <v>65018</v>
      </c>
      <c r="C211" s="172" t="s">
        <v>73</v>
      </c>
      <c r="D211" s="173"/>
      <c r="E211" s="169">
        <f>SUM(E209:E210)</f>
        <v>0</v>
      </c>
      <c r="F211" s="169">
        <f>SUM(F209:F210)</f>
        <v>45000</v>
      </c>
      <c r="G211" s="169">
        <f>SUM(G209:G210)</f>
        <v>20017.5</v>
      </c>
      <c r="H211" s="169">
        <f>SUM(H209:H210)</f>
        <v>0</v>
      </c>
    </row>
    <row r="213" spans="1:8" s="4" customFormat="1" ht="12.75">
      <c r="A213" s="158" t="s">
        <v>407</v>
      </c>
      <c r="B213" s="159"/>
      <c r="C213" s="160"/>
      <c r="D213" s="161"/>
      <c r="E213" s="159"/>
      <c r="F213" s="159"/>
      <c r="G213" s="159"/>
      <c r="H213" s="159"/>
    </row>
    <row r="214" spans="1:8" s="4" customFormat="1" ht="12.75">
      <c r="A214" s="158"/>
      <c r="B214" s="159"/>
      <c r="C214" s="160"/>
      <c r="D214" s="161"/>
      <c r="E214" s="162" t="s">
        <v>61</v>
      </c>
      <c r="F214" s="162" t="s">
        <v>62</v>
      </c>
      <c r="G214" s="162" t="s">
        <v>63</v>
      </c>
      <c r="H214" s="162" t="s">
        <v>64</v>
      </c>
    </row>
    <row r="215" spans="1:8" s="4" customFormat="1" ht="12.75">
      <c r="A215" s="163" t="s">
        <v>224</v>
      </c>
      <c r="B215" s="164">
        <v>1</v>
      </c>
      <c r="C215" s="165" t="s">
        <v>49</v>
      </c>
      <c r="D215" s="166">
        <v>1200</v>
      </c>
      <c r="E215" s="163" t="s">
        <v>11</v>
      </c>
      <c r="F215" s="167">
        <f t="shared" ref="F215:F220" si="3">B215*D215</f>
        <v>1200</v>
      </c>
      <c r="G215" s="166" t="s">
        <v>11</v>
      </c>
      <c r="H215" s="163" t="s">
        <v>11</v>
      </c>
    </row>
    <row r="216" spans="1:8" s="4" customFormat="1" ht="12.75">
      <c r="A216" s="163" t="s">
        <v>323</v>
      </c>
      <c r="B216" s="164">
        <v>1</v>
      </c>
      <c r="C216" s="165" t="s">
        <v>8</v>
      </c>
      <c r="D216" s="166">
        <v>1300</v>
      </c>
      <c r="E216" s="163"/>
      <c r="F216" s="167">
        <f t="shared" si="3"/>
        <v>1300</v>
      </c>
      <c r="G216" s="166"/>
      <c r="H216" s="163"/>
    </row>
    <row r="217" spans="1:8" s="4" customFormat="1" ht="12.75">
      <c r="A217" s="163" t="s">
        <v>408</v>
      </c>
      <c r="B217" s="164">
        <v>15</v>
      </c>
      <c r="C217" s="165" t="s">
        <v>66</v>
      </c>
      <c r="D217" s="166">
        <v>763</v>
      </c>
      <c r="E217" s="163" t="s">
        <v>11</v>
      </c>
      <c r="F217" s="167">
        <f t="shared" si="3"/>
        <v>11445</v>
      </c>
      <c r="G217" s="166" t="s">
        <v>11</v>
      </c>
      <c r="H217" s="163" t="s">
        <v>11</v>
      </c>
    </row>
    <row r="218" spans="1:8" s="4" customFormat="1" ht="12.75">
      <c r="A218" s="163" t="s">
        <v>197</v>
      </c>
      <c r="B218" s="164">
        <v>5</v>
      </c>
      <c r="C218" s="165" t="s">
        <v>66</v>
      </c>
      <c r="D218" s="163">
        <v>700</v>
      </c>
      <c r="E218" s="163" t="s">
        <v>11</v>
      </c>
      <c r="F218" s="167">
        <f t="shared" si="3"/>
        <v>3500</v>
      </c>
      <c r="G218" s="166" t="s">
        <v>11</v>
      </c>
      <c r="H218" s="163" t="s">
        <v>11</v>
      </c>
    </row>
    <row r="219" spans="1:8" s="4" customFormat="1" ht="12.75">
      <c r="A219" s="163" t="s">
        <v>225</v>
      </c>
      <c r="B219" s="164">
        <v>2</v>
      </c>
      <c r="C219" s="165" t="s">
        <v>49</v>
      </c>
      <c r="D219" s="163">
        <v>190</v>
      </c>
      <c r="E219" s="163" t="s">
        <v>11</v>
      </c>
      <c r="F219" s="167">
        <f t="shared" si="3"/>
        <v>380</v>
      </c>
      <c r="G219" s="166" t="s">
        <v>11</v>
      </c>
      <c r="H219" s="163" t="s">
        <v>11</v>
      </c>
    </row>
    <row r="220" spans="1:8" s="4" customFormat="1" ht="12.75">
      <c r="A220" s="163" t="s">
        <v>226</v>
      </c>
      <c r="B220" s="164">
        <v>3</v>
      </c>
      <c r="C220" s="165" t="s">
        <v>49</v>
      </c>
      <c r="D220" s="163">
        <v>850</v>
      </c>
      <c r="E220" s="163" t="s">
        <v>11</v>
      </c>
      <c r="F220" s="167">
        <f t="shared" si="3"/>
        <v>2550</v>
      </c>
      <c r="G220" s="166" t="s">
        <v>11</v>
      </c>
      <c r="H220" s="163" t="s">
        <v>11</v>
      </c>
    </row>
    <row r="221" spans="1:8" s="4" customFormat="1" ht="12.75">
      <c r="A221" s="163" t="s">
        <v>68</v>
      </c>
      <c r="B221" s="179">
        <v>0.129411</v>
      </c>
      <c r="C221" s="165" t="s">
        <v>69</v>
      </c>
      <c r="D221" s="166">
        <v>170000</v>
      </c>
      <c r="E221" s="163" t="s">
        <v>11</v>
      </c>
      <c r="F221" s="163" t="s">
        <v>11</v>
      </c>
      <c r="G221" s="166">
        <f>B221*D221</f>
        <v>21999.87</v>
      </c>
      <c r="H221" s="163" t="s">
        <v>11</v>
      </c>
    </row>
    <row r="222" spans="1:8" s="4" customFormat="1" ht="12.75">
      <c r="A222" s="170" t="s">
        <v>70</v>
      </c>
      <c r="B222" s="171">
        <f>ROUND((SUM(E222:H222)),0)</f>
        <v>42375</v>
      </c>
      <c r="C222" s="172" t="s">
        <v>73</v>
      </c>
      <c r="D222" s="173"/>
      <c r="E222" s="169">
        <f>SUM(E215:E221)</f>
        <v>0</v>
      </c>
      <c r="F222" s="169">
        <f>SUM(F215:F221)</f>
        <v>20375</v>
      </c>
      <c r="G222" s="169">
        <f>SUM(G215:G221)</f>
        <v>21999.87</v>
      </c>
      <c r="H222" s="169">
        <f>SUM(H215:H221)</f>
        <v>0</v>
      </c>
    </row>
    <row r="224" spans="1:8" s="4" customFormat="1" ht="12.75">
      <c r="A224" s="158" t="s">
        <v>409</v>
      </c>
      <c r="B224" s="159"/>
      <c r="C224" s="160"/>
      <c r="D224" s="161"/>
      <c r="E224" s="159"/>
      <c r="F224" s="159"/>
      <c r="G224" s="159"/>
      <c r="H224" s="159"/>
    </row>
    <row r="225" spans="1:8" s="4" customFormat="1" ht="12.75">
      <c r="A225" s="158"/>
      <c r="B225" s="159"/>
      <c r="C225" s="160"/>
      <c r="D225" s="161"/>
      <c r="E225" s="162" t="s">
        <v>61</v>
      </c>
      <c r="F225" s="162" t="s">
        <v>62</v>
      </c>
      <c r="G225" s="162" t="s">
        <v>63</v>
      </c>
      <c r="H225" s="162" t="s">
        <v>64</v>
      </c>
    </row>
    <row r="226" spans="1:8" s="4" customFormat="1" ht="12.75">
      <c r="A226" s="163" t="s">
        <v>232</v>
      </c>
      <c r="B226" s="164">
        <v>1</v>
      </c>
      <c r="C226" s="165" t="s">
        <v>49</v>
      </c>
      <c r="D226" s="166">
        <v>1200</v>
      </c>
      <c r="E226" s="163" t="s">
        <v>11</v>
      </c>
      <c r="F226" s="167">
        <f t="shared" ref="F226:F231" si="4">B226*D226</f>
        <v>1200</v>
      </c>
      <c r="G226" s="166" t="s">
        <v>11</v>
      </c>
      <c r="H226" s="163" t="s">
        <v>11</v>
      </c>
    </row>
    <row r="227" spans="1:8" s="4" customFormat="1" ht="12.75">
      <c r="A227" s="163" t="s">
        <v>408</v>
      </c>
      <c r="B227" s="164">
        <v>15</v>
      </c>
      <c r="C227" s="165" t="s">
        <v>66</v>
      </c>
      <c r="D227" s="166">
        <v>763</v>
      </c>
      <c r="E227" s="163" t="s">
        <v>11</v>
      </c>
      <c r="F227" s="167">
        <f>B227*D227</f>
        <v>11445</v>
      </c>
      <c r="G227" s="166" t="s">
        <v>11</v>
      </c>
      <c r="H227" s="163" t="s">
        <v>11</v>
      </c>
    </row>
    <row r="228" spans="1:8" s="4" customFormat="1" ht="12.75">
      <c r="A228" s="163" t="s">
        <v>197</v>
      </c>
      <c r="B228" s="164">
        <v>5</v>
      </c>
      <c r="C228" s="165" t="s">
        <v>66</v>
      </c>
      <c r="D228" s="163">
        <v>700</v>
      </c>
      <c r="E228" s="163" t="s">
        <v>11</v>
      </c>
      <c r="F228" s="167">
        <f t="shared" si="4"/>
        <v>3500</v>
      </c>
      <c r="G228" s="166" t="s">
        <v>11</v>
      </c>
      <c r="H228" s="163" t="s">
        <v>11</v>
      </c>
    </row>
    <row r="229" spans="1:8" s="4" customFormat="1" ht="12.75">
      <c r="A229" s="163" t="s">
        <v>225</v>
      </c>
      <c r="B229" s="164">
        <v>2</v>
      </c>
      <c r="C229" s="165" t="s">
        <v>49</v>
      </c>
      <c r="D229" s="163">
        <v>190</v>
      </c>
      <c r="E229" s="163" t="s">
        <v>11</v>
      </c>
      <c r="F229" s="167">
        <f t="shared" si="4"/>
        <v>380</v>
      </c>
      <c r="G229" s="166" t="s">
        <v>11</v>
      </c>
      <c r="H229" s="163" t="s">
        <v>11</v>
      </c>
    </row>
    <row r="230" spans="1:8" s="4" customFormat="1" ht="12.75">
      <c r="A230" s="163" t="s">
        <v>226</v>
      </c>
      <c r="B230" s="164">
        <v>3</v>
      </c>
      <c r="C230" s="165" t="s">
        <v>49</v>
      </c>
      <c r="D230" s="163">
        <v>850</v>
      </c>
      <c r="E230" s="163" t="s">
        <v>11</v>
      </c>
      <c r="F230" s="167">
        <f t="shared" si="4"/>
        <v>2550</v>
      </c>
      <c r="G230" s="166" t="s">
        <v>11</v>
      </c>
      <c r="H230" s="163" t="s">
        <v>11</v>
      </c>
    </row>
    <row r="231" spans="1:8" s="4" customFormat="1" ht="12.75">
      <c r="A231" s="163" t="s">
        <v>233</v>
      </c>
      <c r="B231" s="164">
        <v>1</v>
      </c>
      <c r="C231" s="165" t="s">
        <v>49</v>
      </c>
      <c r="D231" s="166">
        <v>4000</v>
      </c>
      <c r="E231" s="163" t="s">
        <v>11</v>
      </c>
      <c r="F231" s="167">
        <f t="shared" si="4"/>
        <v>4000</v>
      </c>
      <c r="G231" s="166" t="s">
        <v>11</v>
      </c>
      <c r="H231" s="163" t="s">
        <v>11</v>
      </c>
    </row>
    <row r="232" spans="1:8" s="4" customFormat="1" ht="12.75">
      <c r="A232" s="163" t="s">
        <v>68</v>
      </c>
      <c r="B232" s="179">
        <v>0.129411</v>
      </c>
      <c r="C232" s="165" t="s">
        <v>69</v>
      </c>
      <c r="D232" s="166">
        <v>170000</v>
      </c>
      <c r="E232" s="163" t="s">
        <v>11</v>
      </c>
      <c r="F232" s="163" t="s">
        <v>11</v>
      </c>
      <c r="G232" s="166">
        <f>B232*D232</f>
        <v>21999.87</v>
      </c>
      <c r="H232" s="163" t="s">
        <v>11</v>
      </c>
    </row>
    <row r="233" spans="1:8" s="4" customFormat="1" ht="12.75">
      <c r="A233" s="170" t="s">
        <v>70</v>
      </c>
      <c r="B233" s="171">
        <f>ROUND((SUM(E233:H233)),0)</f>
        <v>45075</v>
      </c>
      <c r="C233" s="172" t="s">
        <v>73</v>
      </c>
      <c r="D233" s="173"/>
      <c r="E233" s="169">
        <f>SUM(E226:E232)</f>
        <v>0</v>
      </c>
      <c r="F233" s="169">
        <f>SUM(F226:F232)</f>
        <v>23075</v>
      </c>
      <c r="G233" s="169">
        <f>SUM(G226:G232)</f>
        <v>21999.87</v>
      </c>
      <c r="H233" s="169">
        <f>SUM(H226:H232)</f>
        <v>0</v>
      </c>
    </row>
    <row r="235" spans="1:8" s="4" customFormat="1" ht="12.75">
      <c r="A235" s="158" t="s">
        <v>410</v>
      </c>
      <c r="B235" s="159"/>
      <c r="C235" s="160"/>
      <c r="D235" s="161"/>
      <c r="E235" s="159"/>
      <c r="F235" s="159"/>
      <c r="G235" s="159"/>
      <c r="H235" s="159"/>
    </row>
    <row r="236" spans="1:8" s="4" customFormat="1" ht="12.75">
      <c r="A236" s="158"/>
      <c r="B236" s="159"/>
      <c r="C236" s="160"/>
      <c r="D236" s="161"/>
      <c r="E236" s="162" t="s">
        <v>61</v>
      </c>
      <c r="F236" s="162" t="s">
        <v>62</v>
      </c>
      <c r="G236" s="162" t="s">
        <v>63</v>
      </c>
      <c r="H236" s="162" t="s">
        <v>64</v>
      </c>
    </row>
    <row r="237" spans="1:8" s="4" customFormat="1" ht="12.75">
      <c r="A237" s="163" t="s">
        <v>232</v>
      </c>
      <c r="B237" s="164">
        <v>1</v>
      </c>
      <c r="C237" s="165" t="s">
        <v>49</v>
      </c>
      <c r="D237" s="166">
        <v>1200</v>
      </c>
      <c r="E237" s="163" t="s">
        <v>11</v>
      </c>
      <c r="F237" s="167">
        <f t="shared" ref="F237:F242" si="5">B237*D237</f>
        <v>1200</v>
      </c>
      <c r="G237" s="166" t="s">
        <v>11</v>
      </c>
      <c r="H237" s="163" t="s">
        <v>11</v>
      </c>
    </row>
    <row r="238" spans="1:8" s="4" customFormat="1" ht="12.75">
      <c r="A238" s="163" t="s">
        <v>408</v>
      </c>
      <c r="B238" s="164">
        <v>15</v>
      </c>
      <c r="C238" s="165" t="s">
        <v>66</v>
      </c>
      <c r="D238" s="166">
        <v>763</v>
      </c>
      <c r="E238" s="163" t="s">
        <v>11</v>
      </c>
      <c r="F238" s="167">
        <f>B238*D238</f>
        <v>11445</v>
      </c>
      <c r="G238" s="166" t="s">
        <v>11</v>
      </c>
      <c r="H238" s="163" t="s">
        <v>11</v>
      </c>
    </row>
    <row r="239" spans="1:8" s="4" customFormat="1" ht="12.75">
      <c r="A239" s="163" t="s">
        <v>197</v>
      </c>
      <c r="B239" s="164">
        <v>5</v>
      </c>
      <c r="C239" s="165" t="s">
        <v>66</v>
      </c>
      <c r="D239" s="163">
        <v>700</v>
      </c>
      <c r="E239" s="163" t="s">
        <v>11</v>
      </c>
      <c r="F239" s="167">
        <f t="shared" si="5"/>
        <v>3500</v>
      </c>
      <c r="G239" s="166" t="s">
        <v>11</v>
      </c>
      <c r="H239" s="163" t="s">
        <v>11</v>
      </c>
    </row>
    <row r="240" spans="1:8" s="4" customFormat="1" ht="12.75">
      <c r="A240" s="163" t="s">
        <v>225</v>
      </c>
      <c r="B240" s="164">
        <v>2</v>
      </c>
      <c r="C240" s="165" t="s">
        <v>49</v>
      </c>
      <c r="D240" s="163">
        <v>190</v>
      </c>
      <c r="E240" s="163" t="s">
        <v>11</v>
      </c>
      <c r="F240" s="167">
        <f t="shared" si="5"/>
        <v>380</v>
      </c>
      <c r="G240" s="166" t="s">
        <v>11</v>
      </c>
      <c r="H240" s="163" t="s">
        <v>11</v>
      </c>
    </row>
    <row r="241" spans="1:8" s="4" customFormat="1" ht="12.75">
      <c r="A241" s="163" t="s">
        <v>226</v>
      </c>
      <c r="B241" s="164">
        <v>3</v>
      </c>
      <c r="C241" s="165" t="s">
        <v>49</v>
      </c>
      <c r="D241" s="163">
        <v>850</v>
      </c>
      <c r="E241" s="163" t="s">
        <v>11</v>
      </c>
      <c r="F241" s="167">
        <f t="shared" si="5"/>
        <v>2550</v>
      </c>
      <c r="G241" s="166" t="s">
        <v>11</v>
      </c>
      <c r="H241" s="163" t="s">
        <v>11</v>
      </c>
    </row>
    <row r="242" spans="1:8" s="4" customFormat="1" ht="12.75">
      <c r="A242" s="163" t="s">
        <v>243</v>
      </c>
      <c r="B242" s="164">
        <v>1</v>
      </c>
      <c r="C242" s="165" t="s">
        <v>49</v>
      </c>
      <c r="D242" s="166">
        <v>25000</v>
      </c>
      <c r="E242" s="163" t="s">
        <v>11</v>
      </c>
      <c r="F242" s="167">
        <f t="shared" si="5"/>
        <v>25000</v>
      </c>
      <c r="G242" s="166" t="s">
        <v>11</v>
      </c>
      <c r="H242" s="163" t="s">
        <v>11</v>
      </c>
    </row>
    <row r="243" spans="1:8" s="4" customFormat="1" ht="12.75">
      <c r="A243" s="163" t="s">
        <v>68</v>
      </c>
      <c r="B243" s="179">
        <v>0.129411</v>
      </c>
      <c r="C243" s="165" t="s">
        <v>69</v>
      </c>
      <c r="D243" s="166">
        <v>170000</v>
      </c>
      <c r="E243" s="163" t="s">
        <v>11</v>
      </c>
      <c r="F243" s="163" t="s">
        <v>11</v>
      </c>
      <c r="G243" s="166">
        <f>B243*D243</f>
        <v>21999.87</v>
      </c>
      <c r="H243" s="163" t="s">
        <v>11</v>
      </c>
    </row>
    <row r="244" spans="1:8" s="4" customFormat="1" ht="12.75">
      <c r="A244" s="170" t="s">
        <v>70</v>
      </c>
      <c r="B244" s="171">
        <f>ROUND((SUM(E244:H244)),0)</f>
        <v>66075</v>
      </c>
      <c r="C244" s="172" t="s">
        <v>73</v>
      </c>
      <c r="D244" s="173"/>
      <c r="E244" s="169">
        <f>SUM(E237:E243)</f>
        <v>0</v>
      </c>
      <c r="F244" s="169">
        <f>SUM(F237:F243)</f>
        <v>44075</v>
      </c>
      <c r="G244" s="169">
        <f>SUM(G237:G243)</f>
        <v>21999.87</v>
      </c>
      <c r="H244" s="169">
        <f>SUM(H237:H243)</f>
        <v>0</v>
      </c>
    </row>
    <row r="246" spans="1:8" s="4" customFormat="1" ht="12.75">
      <c r="A246" s="158" t="s">
        <v>411</v>
      </c>
      <c r="B246" s="159"/>
      <c r="C246" s="160"/>
      <c r="D246" s="161"/>
      <c r="E246" s="159"/>
      <c r="F246" s="159"/>
      <c r="G246" s="159"/>
      <c r="H246" s="159"/>
    </row>
    <row r="247" spans="1:8" s="4" customFormat="1" ht="12.75">
      <c r="A247" s="158"/>
      <c r="B247" s="159"/>
      <c r="C247" s="160"/>
      <c r="D247" s="161"/>
      <c r="E247" s="162" t="s">
        <v>61</v>
      </c>
      <c r="F247" s="162" t="s">
        <v>62</v>
      </c>
      <c r="G247" s="162" t="s">
        <v>63</v>
      </c>
      <c r="H247" s="162" t="s">
        <v>64</v>
      </c>
    </row>
    <row r="248" spans="1:8" s="4" customFormat="1" ht="12.75">
      <c r="A248" s="163" t="s">
        <v>232</v>
      </c>
      <c r="B248" s="164">
        <v>1</v>
      </c>
      <c r="C248" s="165" t="s">
        <v>49</v>
      </c>
      <c r="D248" s="166">
        <v>1200</v>
      </c>
      <c r="E248" s="163" t="s">
        <v>11</v>
      </c>
      <c r="F248" s="167">
        <f t="shared" ref="F248:F253" si="6">B248*D248</f>
        <v>1200</v>
      </c>
      <c r="G248" s="166" t="s">
        <v>11</v>
      </c>
      <c r="H248" s="163" t="s">
        <v>11</v>
      </c>
    </row>
    <row r="249" spans="1:8" s="4" customFormat="1" ht="12.75">
      <c r="A249" s="163" t="s">
        <v>412</v>
      </c>
      <c r="B249" s="164">
        <v>15</v>
      </c>
      <c r="C249" s="165" t="s">
        <v>66</v>
      </c>
      <c r="D249" s="166">
        <v>1130</v>
      </c>
      <c r="E249" s="163" t="s">
        <v>11</v>
      </c>
      <c r="F249" s="167">
        <f t="shared" si="6"/>
        <v>16950</v>
      </c>
      <c r="G249" s="166" t="s">
        <v>11</v>
      </c>
      <c r="H249" s="163" t="s">
        <v>11</v>
      </c>
    </row>
    <row r="250" spans="1:8" s="4" customFormat="1" ht="12.75">
      <c r="A250" s="163" t="s">
        <v>197</v>
      </c>
      <c r="B250" s="164">
        <v>5</v>
      </c>
      <c r="C250" s="165" t="s">
        <v>66</v>
      </c>
      <c r="D250" s="163">
        <v>700</v>
      </c>
      <c r="E250" s="163" t="s">
        <v>11</v>
      </c>
      <c r="F250" s="167">
        <f t="shared" si="6"/>
        <v>3500</v>
      </c>
      <c r="G250" s="166" t="s">
        <v>11</v>
      </c>
      <c r="H250" s="163" t="s">
        <v>11</v>
      </c>
    </row>
    <row r="251" spans="1:8" s="4" customFormat="1" ht="12.75">
      <c r="A251" s="163" t="s">
        <v>225</v>
      </c>
      <c r="B251" s="164">
        <v>2</v>
      </c>
      <c r="C251" s="165" t="s">
        <v>49</v>
      </c>
      <c r="D251" s="163">
        <v>190</v>
      </c>
      <c r="E251" s="163" t="s">
        <v>11</v>
      </c>
      <c r="F251" s="167">
        <f t="shared" si="6"/>
        <v>380</v>
      </c>
      <c r="G251" s="166" t="s">
        <v>11</v>
      </c>
      <c r="H251" s="163" t="s">
        <v>11</v>
      </c>
    </row>
    <row r="252" spans="1:8" s="4" customFormat="1" ht="12.75">
      <c r="A252" s="163" t="s">
        <v>248</v>
      </c>
      <c r="B252" s="164">
        <v>1</v>
      </c>
      <c r="C252" s="165" t="s">
        <v>49</v>
      </c>
      <c r="D252" s="166">
        <v>4800</v>
      </c>
      <c r="E252" s="163" t="s">
        <v>11</v>
      </c>
      <c r="F252" s="167">
        <f t="shared" si="6"/>
        <v>4800</v>
      </c>
      <c r="G252" s="166" t="s">
        <v>11</v>
      </c>
      <c r="H252" s="163" t="s">
        <v>11</v>
      </c>
    </row>
    <row r="253" spans="1:8" s="4" customFormat="1" ht="12.75">
      <c r="A253" s="163" t="s">
        <v>226</v>
      </c>
      <c r="B253" s="164">
        <v>3</v>
      </c>
      <c r="C253" s="165" t="s">
        <v>49</v>
      </c>
      <c r="D253" s="163">
        <v>850</v>
      </c>
      <c r="E253" s="163" t="s">
        <v>11</v>
      </c>
      <c r="F253" s="167">
        <f t="shared" si="6"/>
        <v>2550</v>
      </c>
      <c r="G253" s="166" t="s">
        <v>11</v>
      </c>
      <c r="H253" s="163" t="s">
        <v>11</v>
      </c>
    </row>
    <row r="254" spans="1:8" s="4" customFormat="1" ht="12.75">
      <c r="A254" s="163" t="s">
        <v>68</v>
      </c>
      <c r="B254" s="179">
        <v>0.129411</v>
      </c>
      <c r="C254" s="165" t="s">
        <v>69</v>
      </c>
      <c r="D254" s="166">
        <v>170000</v>
      </c>
      <c r="E254" s="163" t="s">
        <v>11</v>
      </c>
      <c r="F254" s="163" t="s">
        <v>11</v>
      </c>
      <c r="G254" s="166">
        <f>B254*D254</f>
        <v>21999.87</v>
      </c>
      <c r="H254" s="163" t="s">
        <v>11</v>
      </c>
    </row>
    <row r="255" spans="1:8" s="4" customFormat="1" ht="12.75">
      <c r="A255" s="170" t="s">
        <v>70</v>
      </c>
      <c r="B255" s="171">
        <f>ROUND((SUM(E255:H255)),0)</f>
        <v>51380</v>
      </c>
      <c r="C255" s="172" t="s">
        <v>73</v>
      </c>
      <c r="D255" s="173"/>
      <c r="E255" s="169">
        <f>SUM(E248:E254)</f>
        <v>0</v>
      </c>
      <c r="F255" s="169">
        <f>SUM(F248:F254)</f>
        <v>29380</v>
      </c>
      <c r="G255" s="169">
        <f>SUM(G248:G254)</f>
        <v>21999.87</v>
      </c>
      <c r="H255" s="169">
        <f>SUM(H248:H254)</f>
        <v>0</v>
      </c>
    </row>
    <row r="257" spans="1:8" s="4" customFormat="1" ht="12.75">
      <c r="A257" s="158" t="s">
        <v>413</v>
      </c>
      <c r="B257" s="159"/>
      <c r="C257" s="160"/>
      <c r="D257" s="161"/>
      <c r="E257" s="159"/>
      <c r="F257" s="159"/>
      <c r="G257" s="159"/>
      <c r="H257" s="159"/>
    </row>
    <row r="258" spans="1:8" s="4" customFormat="1" ht="12.75">
      <c r="A258" s="158"/>
      <c r="B258" s="159"/>
      <c r="C258" s="160"/>
      <c r="D258" s="161"/>
      <c r="E258" s="162" t="s">
        <v>61</v>
      </c>
      <c r="F258" s="162" t="s">
        <v>62</v>
      </c>
      <c r="G258" s="162" t="s">
        <v>63</v>
      </c>
      <c r="H258" s="162" t="s">
        <v>64</v>
      </c>
    </row>
    <row r="259" spans="1:8" s="4" customFormat="1" ht="12.75">
      <c r="A259" s="180" t="s">
        <v>414</v>
      </c>
      <c r="B259" s="181">
        <v>1</v>
      </c>
      <c r="C259" s="182" t="s">
        <v>49</v>
      </c>
      <c r="D259" s="183">
        <v>60170</v>
      </c>
      <c r="E259" s="180" t="s">
        <v>11</v>
      </c>
      <c r="F259" s="180">
        <f>B259*D259</f>
        <v>60170</v>
      </c>
      <c r="G259" s="183" t="s">
        <v>11</v>
      </c>
      <c r="H259" s="184"/>
    </row>
    <row r="260" spans="1:8" s="4" customFormat="1" ht="12.75">
      <c r="A260" s="163" t="s">
        <v>68</v>
      </c>
      <c r="B260" s="176">
        <v>0.2059</v>
      </c>
      <c r="C260" s="165" t="s">
        <v>69</v>
      </c>
      <c r="D260" s="166">
        <v>170000</v>
      </c>
      <c r="E260" s="163" t="s">
        <v>11</v>
      </c>
      <c r="F260" s="167"/>
      <c r="G260" s="166">
        <f>B260*D260</f>
        <v>35003</v>
      </c>
      <c r="H260" s="163" t="s">
        <v>11</v>
      </c>
    </row>
    <row r="261" spans="1:8" s="4" customFormat="1" ht="12.75">
      <c r="A261" s="185" t="s">
        <v>70</v>
      </c>
      <c r="B261" s="171">
        <f>ROUND((SUM(E261:H261)),0)</f>
        <v>95173</v>
      </c>
      <c r="C261" s="186" t="s">
        <v>73</v>
      </c>
      <c r="D261" s="187"/>
      <c r="E261" s="188">
        <f>SUM(E259:E259)</f>
        <v>0</v>
      </c>
      <c r="F261" s="188">
        <f>SUM(F259:F259)</f>
        <v>60170</v>
      </c>
      <c r="G261" s="188">
        <f>SUM(G260)</f>
        <v>35003</v>
      </c>
      <c r="H261" s="188">
        <f>SUM(H259:H259)</f>
        <v>0</v>
      </c>
    </row>
    <row r="263" spans="1:8">
      <c r="A263" s="158" t="s">
        <v>415</v>
      </c>
      <c r="B263" s="159"/>
      <c r="C263" s="160"/>
      <c r="D263" s="161"/>
      <c r="E263" s="159"/>
      <c r="F263" s="159"/>
      <c r="G263" s="159"/>
      <c r="H263" s="159"/>
    </row>
    <row r="264" spans="1:8">
      <c r="A264" s="158"/>
      <c r="B264" s="159"/>
      <c r="C264" s="160"/>
      <c r="D264" s="161"/>
      <c r="E264" s="162" t="s">
        <v>61</v>
      </c>
      <c r="F264" s="162" t="s">
        <v>62</v>
      </c>
      <c r="G264" s="162" t="s">
        <v>63</v>
      </c>
      <c r="H264" s="162" t="s">
        <v>64</v>
      </c>
    </row>
    <row r="265" spans="1:8">
      <c r="A265" s="163" t="s">
        <v>416</v>
      </c>
      <c r="B265" s="164">
        <v>1</v>
      </c>
      <c r="C265" s="165" t="s">
        <v>66</v>
      </c>
      <c r="D265" s="166">
        <v>15000</v>
      </c>
      <c r="E265" s="163" t="s">
        <v>11</v>
      </c>
      <c r="F265" s="167">
        <f>B265*D265</f>
        <v>15000</v>
      </c>
      <c r="G265" s="166" t="s">
        <v>11</v>
      </c>
      <c r="H265" s="163" t="s">
        <v>11</v>
      </c>
    </row>
    <row r="266" spans="1:8">
      <c r="A266" s="163" t="s">
        <v>417</v>
      </c>
      <c r="B266" s="174">
        <v>0.33</v>
      </c>
      <c r="C266" s="165" t="s">
        <v>8</v>
      </c>
      <c r="D266" s="166">
        <v>3950</v>
      </c>
      <c r="E266" s="163" t="s">
        <v>11</v>
      </c>
      <c r="F266" s="167">
        <f>B266*D266</f>
        <v>1303.5</v>
      </c>
      <c r="G266" s="166" t="s">
        <v>11</v>
      </c>
      <c r="H266" s="163" t="s">
        <v>11</v>
      </c>
    </row>
    <row r="267" spans="1:8">
      <c r="A267" s="163" t="s">
        <v>418</v>
      </c>
      <c r="B267" s="174">
        <v>0.33</v>
      </c>
      <c r="C267" s="165" t="s">
        <v>8</v>
      </c>
      <c r="D267" s="166">
        <v>3550</v>
      </c>
      <c r="E267" s="163"/>
      <c r="F267" s="167">
        <f>B267*D267</f>
        <v>1171.5</v>
      </c>
      <c r="G267" s="166"/>
      <c r="H267" s="163"/>
    </row>
    <row r="268" spans="1:8">
      <c r="A268" s="163" t="s">
        <v>265</v>
      </c>
      <c r="B268" s="174">
        <v>1</v>
      </c>
      <c r="C268" s="165" t="s">
        <v>75</v>
      </c>
      <c r="D268" s="166">
        <v>3000</v>
      </c>
      <c r="E268" s="163"/>
      <c r="F268" s="167">
        <f>B268*D268</f>
        <v>3000</v>
      </c>
      <c r="G268" s="166"/>
      <c r="H268" s="163"/>
    </row>
    <row r="269" spans="1:8">
      <c r="A269" s="163" t="s">
        <v>68</v>
      </c>
      <c r="B269" s="179">
        <v>0.02</v>
      </c>
      <c r="C269" s="165" t="s">
        <v>69</v>
      </c>
      <c r="D269" s="166">
        <v>170000</v>
      </c>
      <c r="E269" s="163" t="s">
        <v>11</v>
      </c>
      <c r="F269" s="167"/>
      <c r="G269" s="166">
        <f>B269*D269</f>
        <v>3400</v>
      </c>
      <c r="H269" s="163" t="s">
        <v>11</v>
      </c>
    </row>
    <row r="270" spans="1:8">
      <c r="A270" s="170" t="s">
        <v>70</v>
      </c>
      <c r="B270" s="171">
        <f>ROUND((SUM(E270:H270)),0)</f>
        <v>23875</v>
      </c>
      <c r="C270" s="172" t="s">
        <v>71</v>
      </c>
      <c r="D270" s="173"/>
      <c r="E270" s="169">
        <f>SUM(E265:E269)</f>
        <v>0</v>
      </c>
      <c r="F270" s="169">
        <f>SUM(F265:F269)</f>
        <v>20475</v>
      </c>
      <c r="G270" s="169">
        <f>SUM(G265:G269)</f>
        <v>3400</v>
      </c>
      <c r="H270" s="169">
        <f>SUM(H265:H269)</f>
        <v>0</v>
      </c>
    </row>
    <row r="272" spans="1:8">
      <c r="A272" s="158" t="s">
        <v>419</v>
      </c>
      <c r="B272" s="159"/>
      <c r="C272" s="160"/>
      <c r="D272" s="161"/>
      <c r="E272" s="159"/>
      <c r="F272" s="159"/>
      <c r="G272" s="159"/>
      <c r="H272" s="159"/>
    </row>
    <row r="273" spans="1:8">
      <c r="A273" s="158"/>
      <c r="B273" s="159"/>
      <c r="C273" s="160"/>
      <c r="D273" s="161"/>
      <c r="E273" s="162" t="s">
        <v>61</v>
      </c>
      <c r="F273" s="162" t="s">
        <v>62</v>
      </c>
      <c r="G273" s="162" t="s">
        <v>63</v>
      </c>
      <c r="H273" s="162" t="s">
        <v>64</v>
      </c>
    </row>
    <row r="274" spans="1:8">
      <c r="A274" s="163" t="s">
        <v>261</v>
      </c>
      <c r="B274" s="164">
        <v>3</v>
      </c>
      <c r="C274" s="165" t="s">
        <v>66</v>
      </c>
      <c r="D274" s="166">
        <v>2900</v>
      </c>
      <c r="E274" s="163" t="s">
        <v>11</v>
      </c>
      <c r="F274" s="167">
        <f>B274*D274</f>
        <v>8700</v>
      </c>
      <c r="G274" s="166" t="s">
        <v>11</v>
      </c>
      <c r="H274" s="163" t="s">
        <v>11</v>
      </c>
    </row>
    <row r="275" spans="1:8">
      <c r="A275" s="163" t="s">
        <v>126</v>
      </c>
      <c r="B275" s="164">
        <v>1</v>
      </c>
      <c r="C275" s="165" t="s">
        <v>66</v>
      </c>
      <c r="D275" s="166">
        <v>500</v>
      </c>
      <c r="E275" s="163" t="s">
        <v>11</v>
      </c>
      <c r="F275" s="167">
        <f>B275*D275</f>
        <v>500</v>
      </c>
      <c r="G275" s="166" t="s">
        <v>11</v>
      </c>
      <c r="H275" s="163" t="s">
        <v>11</v>
      </c>
    </row>
    <row r="276" spans="1:8">
      <c r="A276" s="163" t="s">
        <v>68</v>
      </c>
      <c r="B276" s="179">
        <v>0.02</v>
      </c>
      <c r="C276" s="165" t="s">
        <v>69</v>
      </c>
      <c r="D276" s="166">
        <v>170000</v>
      </c>
      <c r="E276" s="163" t="s">
        <v>11</v>
      </c>
      <c r="F276" s="167"/>
      <c r="G276" s="166">
        <f>B276*D276</f>
        <v>3400</v>
      </c>
      <c r="H276" s="163" t="s">
        <v>11</v>
      </c>
    </row>
    <row r="277" spans="1:8">
      <c r="A277" s="170" t="s">
        <v>70</v>
      </c>
      <c r="B277" s="171">
        <f>ROUND((SUM(E277:H277)),0)</f>
        <v>12600</v>
      </c>
      <c r="C277" s="172" t="s">
        <v>71</v>
      </c>
      <c r="D277" s="173"/>
      <c r="E277" s="169">
        <f>SUM(E274:E276)</f>
        <v>0</v>
      </c>
      <c r="F277" s="169">
        <f>SUM(F274:F276)</f>
        <v>9200</v>
      </c>
      <c r="G277" s="169">
        <f>SUM(G274:G276)</f>
        <v>3400</v>
      </c>
      <c r="H277" s="169">
        <f>SUM(H274:H276)</f>
        <v>0</v>
      </c>
    </row>
    <row r="279" spans="1:8" s="4" customFormat="1" ht="12.75">
      <c r="A279" s="158" t="s">
        <v>420</v>
      </c>
      <c r="B279" s="159"/>
      <c r="C279" s="160"/>
      <c r="D279" s="161"/>
      <c r="E279" s="159"/>
      <c r="F279" s="159"/>
      <c r="G279" s="159"/>
      <c r="H279" s="159"/>
    </row>
    <row r="280" spans="1:8" s="4" customFormat="1" ht="12.75">
      <c r="A280" s="158"/>
      <c r="B280" s="159"/>
      <c r="C280" s="160"/>
      <c r="D280" s="161"/>
      <c r="E280" s="162" t="s">
        <v>61</v>
      </c>
      <c r="F280" s="162" t="s">
        <v>62</v>
      </c>
      <c r="G280" s="162" t="s">
        <v>63</v>
      </c>
      <c r="H280" s="162" t="s">
        <v>64</v>
      </c>
    </row>
    <row r="281" spans="1:8" s="4" customFormat="1" ht="12.75">
      <c r="A281" s="163" t="s">
        <v>314</v>
      </c>
      <c r="B281" s="164">
        <v>3</v>
      </c>
      <c r="C281" s="165" t="s">
        <v>66</v>
      </c>
      <c r="D281" s="166">
        <v>2972</v>
      </c>
      <c r="E281" s="163" t="s">
        <v>11</v>
      </c>
      <c r="F281" s="167">
        <f>B281*D281</f>
        <v>8916</v>
      </c>
      <c r="G281" s="166" t="s">
        <v>11</v>
      </c>
      <c r="H281" s="163" t="s">
        <v>11</v>
      </c>
    </row>
    <row r="282" spans="1:8" s="4" customFormat="1" ht="12.75">
      <c r="A282" s="163" t="s">
        <v>320</v>
      </c>
      <c r="B282" s="164">
        <v>1</v>
      </c>
      <c r="C282" s="165" t="s">
        <v>66</v>
      </c>
      <c r="D282" s="166">
        <v>1734</v>
      </c>
      <c r="E282" s="163" t="s">
        <v>11</v>
      </c>
      <c r="F282" s="167">
        <f>B282*D282</f>
        <v>1734</v>
      </c>
      <c r="G282" s="166" t="s">
        <v>11</v>
      </c>
      <c r="H282" s="163" t="s">
        <v>11</v>
      </c>
    </row>
    <row r="283" spans="1:8" s="4" customFormat="1" ht="12.75">
      <c r="A283" s="163" t="s">
        <v>188</v>
      </c>
      <c r="B283" s="164">
        <v>1</v>
      </c>
      <c r="C283" s="165" t="s">
        <v>66</v>
      </c>
      <c r="D283" s="166">
        <v>1200</v>
      </c>
      <c r="E283" s="163" t="s">
        <v>11</v>
      </c>
      <c r="F283" s="167">
        <f>B283*D283</f>
        <v>1200</v>
      </c>
      <c r="G283" s="166" t="s">
        <v>11</v>
      </c>
      <c r="H283" s="163" t="s">
        <v>11</v>
      </c>
    </row>
    <row r="284" spans="1:8" s="4" customFormat="1" ht="12.75">
      <c r="A284" s="163" t="s">
        <v>68</v>
      </c>
      <c r="B284" s="176">
        <v>3.8199999999999998E-2</v>
      </c>
      <c r="C284" s="165" t="s">
        <v>69</v>
      </c>
      <c r="D284" s="166">
        <v>170000</v>
      </c>
      <c r="E284" s="163" t="s">
        <v>11</v>
      </c>
      <c r="F284" s="167"/>
      <c r="G284" s="166">
        <f>B284*D284</f>
        <v>6494</v>
      </c>
      <c r="H284" s="163" t="s">
        <v>11</v>
      </c>
    </row>
    <row r="285" spans="1:8" s="4" customFormat="1" ht="12.75">
      <c r="A285" s="170" t="s">
        <v>70</v>
      </c>
      <c r="B285" s="171">
        <f>ROUND((SUM(E285:H285)),0)</f>
        <v>18344</v>
      </c>
      <c r="C285" s="172" t="s">
        <v>71</v>
      </c>
      <c r="D285" s="173"/>
      <c r="E285" s="169">
        <f>SUM(E281:E284)</f>
        <v>0</v>
      </c>
      <c r="F285" s="169">
        <f>SUM(F281:F284)</f>
        <v>11850</v>
      </c>
      <c r="G285" s="169">
        <f>SUM(G281:G284)</f>
        <v>6494</v>
      </c>
      <c r="H285" s="169">
        <f>SUM(H281:H284)</f>
        <v>0</v>
      </c>
    </row>
    <row r="286" spans="1:8" s="4" customFormat="1" ht="12.75">
      <c r="A286" s="122"/>
      <c r="B286" s="123"/>
      <c r="C286" s="124"/>
      <c r="D286" s="125"/>
      <c r="E286" s="126"/>
      <c r="F286" s="126"/>
      <c r="G286" s="126"/>
      <c r="H286" s="126"/>
    </row>
    <row r="287" spans="1:8" s="4" customFormat="1" ht="12.75">
      <c r="A287" s="158" t="s">
        <v>421</v>
      </c>
      <c r="B287" s="159"/>
      <c r="C287" s="160"/>
      <c r="D287" s="161"/>
      <c r="E287" s="159"/>
      <c r="F287" s="159"/>
      <c r="G287" s="159"/>
      <c r="H287" s="159"/>
    </row>
    <row r="288" spans="1:8" s="4" customFormat="1" ht="12.75">
      <c r="A288" s="158"/>
      <c r="B288" s="159"/>
      <c r="C288" s="160"/>
      <c r="D288" s="161"/>
      <c r="E288" s="162" t="s">
        <v>61</v>
      </c>
      <c r="F288" s="162" t="s">
        <v>62</v>
      </c>
      <c r="G288" s="162" t="s">
        <v>63</v>
      </c>
      <c r="H288" s="162" t="s">
        <v>64</v>
      </c>
    </row>
    <row r="289" spans="1:8" s="4" customFormat="1" ht="12.75">
      <c r="A289" s="163" t="s">
        <v>48</v>
      </c>
      <c r="B289" s="164">
        <v>1</v>
      </c>
      <c r="C289" s="165" t="s">
        <v>49</v>
      </c>
      <c r="D289" s="166">
        <v>70950</v>
      </c>
      <c r="E289" s="163" t="s">
        <v>11</v>
      </c>
      <c r="F289" s="167">
        <f>B289*D289</f>
        <v>70950</v>
      </c>
      <c r="G289" s="166" t="s">
        <v>11</v>
      </c>
      <c r="H289" s="163" t="s">
        <v>11</v>
      </c>
    </row>
    <row r="290" spans="1:8" s="4" customFormat="1" ht="12.75">
      <c r="A290" s="163" t="s">
        <v>68</v>
      </c>
      <c r="B290" s="174">
        <v>0.20588000000000001</v>
      </c>
      <c r="C290" s="165" t="s">
        <v>69</v>
      </c>
      <c r="D290" s="166">
        <v>170000</v>
      </c>
      <c r="E290" s="163" t="s">
        <v>11</v>
      </c>
      <c r="F290" s="163" t="s">
        <v>11</v>
      </c>
      <c r="G290" s="166">
        <f>B290*D290</f>
        <v>34999.599999999999</v>
      </c>
      <c r="H290" s="163" t="s">
        <v>11</v>
      </c>
    </row>
    <row r="291" spans="1:8" s="4" customFormat="1" ht="12.75">
      <c r="A291" s="170" t="s">
        <v>70</v>
      </c>
      <c r="B291" s="171">
        <f>ROUND((SUM(E291:H291)),0)</f>
        <v>105950</v>
      </c>
      <c r="C291" s="172" t="s">
        <v>73</v>
      </c>
      <c r="D291" s="173"/>
      <c r="E291" s="169">
        <f>SUM(E289:E290)</f>
        <v>0</v>
      </c>
      <c r="F291" s="169">
        <f>SUM(F289:F290)</f>
        <v>70950</v>
      </c>
      <c r="G291" s="169">
        <f>SUM(G289:G290)</f>
        <v>34999.599999999999</v>
      </c>
      <c r="H291" s="169">
        <f>SUM(H289:H290)</f>
        <v>0</v>
      </c>
    </row>
    <row r="292" spans="1:8" s="4" customFormat="1" ht="12.75">
      <c r="A292" s="122"/>
      <c r="B292" s="123"/>
      <c r="C292" s="124"/>
      <c r="D292" s="125"/>
      <c r="E292" s="126"/>
      <c r="F292" s="126"/>
      <c r="G292" s="126"/>
      <c r="H292" s="126"/>
    </row>
    <row r="293" spans="1:8" s="4" customFormat="1" ht="12.75">
      <c r="A293" s="158" t="s">
        <v>422</v>
      </c>
      <c r="B293" s="159"/>
      <c r="C293" s="160"/>
      <c r="D293" s="161"/>
      <c r="E293" s="159"/>
      <c r="F293" s="159"/>
      <c r="G293" s="159"/>
      <c r="H293" s="159"/>
    </row>
    <row r="294" spans="1:8" s="4" customFormat="1" ht="12.75">
      <c r="A294" s="158"/>
      <c r="B294" s="159"/>
      <c r="C294" s="160"/>
      <c r="D294" s="161"/>
      <c r="E294" s="162" t="s">
        <v>61</v>
      </c>
      <c r="F294" s="162" t="s">
        <v>62</v>
      </c>
      <c r="G294" s="162" t="s">
        <v>63</v>
      </c>
      <c r="H294" s="162" t="s">
        <v>64</v>
      </c>
    </row>
    <row r="295" spans="1:8" s="4" customFormat="1" ht="12.75">
      <c r="A295" s="163" t="s">
        <v>224</v>
      </c>
      <c r="B295" s="164">
        <v>1</v>
      </c>
      <c r="C295" s="165" t="s">
        <v>49</v>
      </c>
      <c r="D295" s="166">
        <v>1200</v>
      </c>
      <c r="E295" s="163" t="s">
        <v>11</v>
      </c>
      <c r="F295" s="167">
        <f t="shared" ref="F295:F300" si="7">B295*D295</f>
        <v>1200</v>
      </c>
      <c r="G295" s="166" t="s">
        <v>11</v>
      </c>
      <c r="H295" s="163" t="s">
        <v>11</v>
      </c>
    </row>
    <row r="296" spans="1:8" s="4" customFormat="1" ht="12.75">
      <c r="A296" s="163" t="s">
        <v>323</v>
      </c>
      <c r="B296" s="164">
        <v>1</v>
      </c>
      <c r="C296" s="165" t="s">
        <v>8</v>
      </c>
      <c r="D296" s="166">
        <v>1300</v>
      </c>
      <c r="E296" s="163"/>
      <c r="F296" s="167">
        <f t="shared" si="7"/>
        <v>1300</v>
      </c>
      <c r="G296" s="166"/>
      <c r="H296" s="163"/>
    </row>
    <row r="297" spans="1:8" s="4" customFormat="1" ht="12.75">
      <c r="A297" s="163" t="s">
        <v>201</v>
      </c>
      <c r="B297" s="164">
        <v>15</v>
      </c>
      <c r="C297" s="165" t="s">
        <v>66</v>
      </c>
      <c r="D297" s="166">
        <v>715</v>
      </c>
      <c r="E297" s="163" t="s">
        <v>11</v>
      </c>
      <c r="F297" s="167">
        <f t="shared" si="7"/>
        <v>10725</v>
      </c>
      <c r="G297" s="166" t="s">
        <v>11</v>
      </c>
      <c r="H297" s="163" t="s">
        <v>11</v>
      </c>
    </row>
    <row r="298" spans="1:8" s="4" customFormat="1" ht="12.75">
      <c r="A298" s="163" t="s">
        <v>423</v>
      </c>
      <c r="B298" s="164">
        <v>5</v>
      </c>
      <c r="C298" s="165" t="s">
        <v>66</v>
      </c>
      <c r="D298" s="163">
        <v>1300</v>
      </c>
      <c r="E298" s="163" t="s">
        <v>11</v>
      </c>
      <c r="F298" s="167">
        <f t="shared" si="7"/>
        <v>6500</v>
      </c>
      <c r="G298" s="166" t="s">
        <v>11</v>
      </c>
      <c r="H298" s="163" t="s">
        <v>11</v>
      </c>
    </row>
    <row r="299" spans="1:8" s="4" customFormat="1" ht="12.75">
      <c r="A299" s="163" t="s">
        <v>225</v>
      </c>
      <c r="B299" s="164">
        <v>2</v>
      </c>
      <c r="C299" s="165" t="s">
        <v>49</v>
      </c>
      <c r="D299" s="163">
        <v>190</v>
      </c>
      <c r="E299" s="163" t="s">
        <v>11</v>
      </c>
      <c r="F299" s="167">
        <f t="shared" si="7"/>
        <v>380</v>
      </c>
      <c r="G299" s="166" t="s">
        <v>11</v>
      </c>
      <c r="H299" s="163" t="s">
        <v>11</v>
      </c>
    </row>
    <row r="300" spans="1:8" s="4" customFormat="1" ht="12.75">
      <c r="A300" s="163" t="s">
        <v>226</v>
      </c>
      <c r="B300" s="164">
        <v>3</v>
      </c>
      <c r="C300" s="165" t="s">
        <v>49</v>
      </c>
      <c r="D300" s="163">
        <v>850</v>
      </c>
      <c r="E300" s="163" t="s">
        <v>11</v>
      </c>
      <c r="F300" s="167">
        <f t="shared" si="7"/>
        <v>2550</v>
      </c>
      <c r="G300" s="166" t="s">
        <v>11</v>
      </c>
      <c r="H300" s="163" t="s">
        <v>11</v>
      </c>
    </row>
    <row r="301" spans="1:8" s="4" customFormat="1" ht="12.75">
      <c r="A301" s="163" t="s">
        <v>68</v>
      </c>
      <c r="B301" s="179">
        <v>0.129411</v>
      </c>
      <c r="C301" s="165" t="s">
        <v>69</v>
      </c>
      <c r="D301" s="166">
        <v>170000</v>
      </c>
      <c r="E301" s="163" t="s">
        <v>11</v>
      </c>
      <c r="F301" s="163" t="s">
        <v>11</v>
      </c>
      <c r="G301" s="166">
        <f>B301*D301</f>
        <v>21999.87</v>
      </c>
      <c r="H301" s="163" t="s">
        <v>11</v>
      </c>
    </row>
    <row r="302" spans="1:8" s="4" customFormat="1" ht="12.75">
      <c r="A302" s="170" t="s">
        <v>70</v>
      </c>
      <c r="B302" s="171">
        <f>ROUND((SUM(E302:H302)),0)</f>
        <v>44655</v>
      </c>
      <c r="C302" s="172" t="s">
        <v>73</v>
      </c>
      <c r="D302" s="173"/>
      <c r="E302" s="169">
        <f>SUM(E295:E301)</f>
        <v>0</v>
      </c>
      <c r="F302" s="169">
        <f>SUM(F295:F301)</f>
        <v>22655</v>
      </c>
      <c r="G302" s="169">
        <f>SUM(G295:G301)</f>
        <v>21999.87</v>
      </c>
      <c r="H302" s="169">
        <f>SUM(H295:H301)</f>
        <v>0</v>
      </c>
    </row>
    <row r="304" spans="1:8" s="4" customFormat="1" ht="12.75">
      <c r="A304" s="158" t="s">
        <v>424</v>
      </c>
      <c r="B304" s="159"/>
      <c r="C304" s="160"/>
      <c r="D304" s="161"/>
      <c r="E304" s="159"/>
      <c r="F304" s="159"/>
      <c r="G304" s="159"/>
      <c r="H304" s="159"/>
    </row>
    <row r="305" spans="1:8" s="4" customFormat="1" ht="12.75">
      <c r="A305" s="158"/>
      <c r="B305" s="159"/>
      <c r="C305" s="160"/>
      <c r="D305" s="161"/>
      <c r="E305" s="162" t="s">
        <v>61</v>
      </c>
      <c r="F305" s="162" t="s">
        <v>62</v>
      </c>
      <c r="G305" s="162" t="s">
        <v>63</v>
      </c>
      <c r="H305" s="162" t="s">
        <v>64</v>
      </c>
    </row>
    <row r="306" spans="1:8" s="4" customFormat="1" ht="12.75">
      <c r="A306" s="163" t="s">
        <v>224</v>
      </c>
      <c r="B306" s="164">
        <v>1</v>
      </c>
      <c r="C306" s="165" t="s">
        <v>49</v>
      </c>
      <c r="D306" s="166">
        <v>1200</v>
      </c>
      <c r="E306" s="163" t="s">
        <v>11</v>
      </c>
      <c r="F306" s="167">
        <f t="shared" ref="F306:F311" si="8">B306*D306</f>
        <v>1200</v>
      </c>
      <c r="G306" s="166" t="s">
        <v>11</v>
      </c>
      <c r="H306" s="163" t="s">
        <v>11</v>
      </c>
    </row>
    <row r="307" spans="1:8" s="4" customFormat="1" ht="12.75">
      <c r="A307" s="163" t="s">
        <v>323</v>
      </c>
      <c r="B307" s="164">
        <v>1</v>
      </c>
      <c r="C307" s="165" t="s">
        <v>8</v>
      </c>
      <c r="D307" s="166">
        <v>1300</v>
      </c>
      <c r="E307" s="163"/>
      <c r="F307" s="167">
        <f t="shared" si="8"/>
        <v>1300</v>
      </c>
      <c r="G307" s="166"/>
      <c r="H307" s="163"/>
    </row>
    <row r="308" spans="1:8" s="4" customFormat="1" ht="12.75">
      <c r="A308" s="163" t="s">
        <v>425</v>
      </c>
      <c r="B308" s="164">
        <v>15</v>
      </c>
      <c r="C308" s="165" t="s">
        <v>66</v>
      </c>
      <c r="D308" s="166">
        <v>839</v>
      </c>
      <c r="E308" s="163" t="s">
        <v>11</v>
      </c>
      <c r="F308" s="167">
        <f t="shared" si="8"/>
        <v>12585</v>
      </c>
      <c r="G308" s="166" t="s">
        <v>11</v>
      </c>
      <c r="H308" s="163" t="s">
        <v>11</v>
      </c>
    </row>
    <row r="309" spans="1:8" s="4" customFormat="1" ht="12.75">
      <c r="A309" s="163" t="s">
        <v>423</v>
      </c>
      <c r="B309" s="164">
        <v>5</v>
      </c>
      <c r="C309" s="165" t="s">
        <v>66</v>
      </c>
      <c r="D309" s="163">
        <v>1300</v>
      </c>
      <c r="E309" s="163" t="s">
        <v>11</v>
      </c>
      <c r="F309" s="167">
        <f t="shared" si="8"/>
        <v>6500</v>
      </c>
      <c r="G309" s="166" t="s">
        <v>11</v>
      </c>
      <c r="H309" s="163" t="s">
        <v>11</v>
      </c>
    </row>
    <row r="310" spans="1:8" s="4" customFormat="1" ht="12.75">
      <c r="A310" s="163" t="s">
        <v>225</v>
      </c>
      <c r="B310" s="164">
        <v>2</v>
      </c>
      <c r="C310" s="165" t="s">
        <v>49</v>
      </c>
      <c r="D310" s="163">
        <v>190</v>
      </c>
      <c r="E310" s="163" t="s">
        <v>11</v>
      </c>
      <c r="F310" s="167">
        <f t="shared" si="8"/>
        <v>380</v>
      </c>
      <c r="G310" s="166" t="s">
        <v>11</v>
      </c>
      <c r="H310" s="163" t="s">
        <v>11</v>
      </c>
    </row>
    <row r="311" spans="1:8" s="4" customFormat="1" ht="12.75">
      <c r="A311" s="163" t="s">
        <v>226</v>
      </c>
      <c r="B311" s="164">
        <v>3</v>
      </c>
      <c r="C311" s="165" t="s">
        <v>49</v>
      </c>
      <c r="D311" s="163">
        <v>850</v>
      </c>
      <c r="E311" s="163" t="s">
        <v>11</v>
      </c>
      <c r="F311" s="167">
        <f t="shared" si="8"/>
        <v>2550</v>
      </c>
      <c r="G311" s="166" t="s">
        <v>11</v>
      </c>
      <c r="H311" s="163" t="s">
        <v>11</v>
      </c>
    </row>
    <row r="312" spans="1:8" s="4" customFormat="1" ht="12.75">
      <c r="A312" s="163" t="s">
        <v>68</v>
      </c>
      <c r="B312" s="179">
        <v>0.129411</v>
      </c>
      <c r="C312" s="165" t="s">
        <v>69</v>
      </c>
      <c r="D312" s="166">
        <v>170000</v>
      </c>
      <c r="E312" s="163" t="s">
        <v>11</v>
      </c>
      <c r="F312" s="163" t="s">
        <v>11</v>
      </c>
      <c r="G312" s="166">
        <f>B312*D312</f>
        <v>21999.87</v>
      </c>
      <c r="H312" s="163" t="s">
        <v>11</v>
      </c>
    </row>
    <row r="313" spans="1:8" s="4" customFormat="1" ht="12.75">
      <c r="A313" s="170" t="s">
        <v>70</v>
      </c>
      <c r="B313" s="171">
        <f>ROUND((SUM(E313:H313)),0)</f>
        <v>46515</v>
      </c>
      <c r="C313" s="172" t="s">
        <v>73</v>
      </c>
      <c r="D313" s="173"/>
      <c r="E313" s="169">
        <f>SUM(E306:E312)</f>
        <v>0</v>
      </c>
      <c r="F313" s="169">
        <f>SUM(F306:F312)</f>
        <v>24515</v>
      </c>
      <c r="G313" s="169">
        <f>SUM(G306:G312)</f>
        <v>21999.87</v>
      </c>
      <c r="H313" s="169">
        <f>SUM(H306:H312)</f>
        <v>0</v>
      </c>
    </row>
    <row r="315" spans="1:8" s="4" customFormat="1" ht="12.75">
      <c r="A315" s="158" t="s">
        <v>426</v>
      </c>
      <c r="B315" s="159"/>
      <c r="C315" s="160"/>
      <c r="D315" s="161"/>
      <c r="E315" s="159"/>
      <c r="F315" s="159"/>
      <c r="G315" s="159"/>
      <c r="H315" s="159"/>
    </row>
    <row r="316" spans="1:8" s="4" customFormat="1" ht="12.75">
      <c r="A316" s="158"/>
      <c r="B316" s="159"/>
      <c r="C316" s="160"/>
      <c r="D316" s="161"/>
      <c r="E316" s="162" t="s">
        <v>61</v>
      </c>
      <c r="F316" s="162" t="s">
        <v>62</v>
      </c>
      <c r="G316" s="162" t="s">
        <v>63</v>
      </c>
      <c r="H316" s="162" t="s">
        <v>64</v>
      </c>
    </row>
    <row r="317" spans="1:8" s="4" customFormat="1" ht="12.75">
      <c r="A317" s="163" t="s">
        <v>232</v>
      </c>
      <c r="B317" s="164">
        <v>1</v>
      </c>
      <c r="C317" s="165" t="s">
        <v>49</v>
      </c>
      <c r="D317" s="166">
        <v>1200</v>
      </c>
      <c r="E317" s="163" t="s">
        <v>11</v>
      </c>
      <c r="F317" s="167">
        <f t="shared" ref="F317:F322" si="9">B317*D317</f>
        <v>1200</v>
      </c>
      <c r="G317" s="166" t="s">
        <v>11</v>
      </c>
      <c r="H317" s="163" t="s">
        <v>11</v>
      </c>
    </row>
    <row r="318" spans="1:8" s="4" customFormat="1" ht="12.75">
      <c r="A318" s="163" t="s">
        <v>201</v>
      </c>
      <c r="B318" s="164">
        <v>15</v>
      </c>
      <c r="C318" s="165" t="s">
        <v>66</v>
      </c>
      <c r="D318" s="166">
        <v>715</v>
      </c>
      <c r="E318" s="163" t="s">
        <v>11</v>
      </c>
      <c r="F318" s="167">
        <f t="shared" si="9"/>
        <v>10725</v>
      </c>
      <c r="G318" s="166" t="s">
        <v>11</v>
      </c>
      <c r="H318" s="163" t="s">
        <v>11</v>
      </c>
    </row>
    <row r="319" spans="1:8" s="4" customFormat="1" ht="12.75">
      <c r="A319" s="163" t="s">
        <v>423</v>
      </c>
      <c r="B319" s="164">
        <v>5</v>
      </c>
      <c r="C319" s="165" t="s">
        <v>66</v>
      </c>
      <c r="D319" s="163">
        <v>1300</v>
      </c>
      <c r="E319" s="163" t="s">
        <v>11</v>
      </c>
      <c r="F319" s="167">
        <f t="shared" si="9"/>
        <v>6500</v>
      </c>
      <c r="G319" s="166" t="s">
        <v>11</v>
      </c>
      <c r="H319" s="163" t="s">
        <v>11</v>
      </c>
    </row>
    <row r="320" spans="1:8" s="4" customFormat="1" ht="12.75">
      <c r="A320" s="163" t="s">
        <v>225</v>
      </c>
      <c r="B320" s="164">
        <v>2</v>
      </c>
      <c r="C320" s="165" t="s">
        <v>49</v>
      </c>
      <c r="D320" s="163">
        <v>190</v>
      </c>
      <c r="E320" s="163" t="s">
        <v>11</v>
      </c>
      <c r="F320" s="167">
        <f t="shared" si="9"/>
        <v>380</v>
      </c>
      <c r="G320" s="166" t="s">
        <v>11</v>
      </c>
      <c r="H320" s="163" t="s">
        <v>11</v>
      </c>
    </row>
    <row r="321" spans="1:8" s="4" customFormat="1" ht="12.75">
      <c r="A321" s="163" t="s">
        <v>226</v>
      </c>
      <c r="B321" s="164">
        <v>3</v>
      </c>
      <c r="C321" s="165" t="s">
        <v>49</v>
      </c>
      <c r="D321" s="163">
        <v>850</v>
      </c>
      <c r="E321" s="163" t="s">
        <v>11</v>
      </c>
      <c r="F321" s="167">
        <f t="shared" si="9"/>
        <v>2550</v>
      </c>
      <c r="G321" s="166" t="s">
        <v>11</v>
      </c>
      <c r="H321" s="163" t="s">
        <v>11</v>
      </c>
    </row>
    <row r="322" spans="1:8" s="4" customFormat="1" ht="12.75">
      <c r="A322" s="163" t="s">
        <v>233</v>
      </c>
      <c r="B322" s="164">
        <v>1</v>
      </c>
      <c r="C322" s="165" t="s">
        <v>49</v>
      </c>
      <c r="D322" s="166">
        <v>4000</v>
      </c>
      <c r="E322" s="163" t="s">
        <v>11</v>
      </c>
      <c r="F322" s="167">
        <f t="shared" si="9"/>
        <v>4000</v>
      </c>
      <c r="G322" s="166" t="s">
        <v>11</v>
      </c>
      <c r="H322" s="163" t="s">
        <v>11</v>
      </c>
    </row>
    <row r="323" spans="1:8" s="4" customFormat="1" ht="12.75">
      <c r="A323" s="163" t="s">
        <v>68</v>
      </c>
      <c r="B323" s="179">
        <v>0.129411</v>
      </c>
      <c r="C323" s="165" t="s">
        <v>69</v>
      </c>
      <c r="D323" s="166">
        <v>170000</v>
      </c>
      <c r="E323" s="163" t="s">
        <v>11</v>
      </c>
      <c r="F323" s="163" t="s">
        <v>11</v>
      </c>
      <c r="G323" s="166">
        <f>B323*D323</f>
        <v>21999.87</v>
      </c>
      <c r="H323" s="163" t="s">
        <v>11</v>
      </c>
    </row>
    <row r="324" spans="1:8" s="4" customFormat="1" ht="12.75">
      <c r="A324" s="170" t="s">
        <v>70</v>
      </c>
      <c r="B324" s="171">
        <f>ROUND((SUM(E324:H324)),0)</f>
        <v>47355</v>
      </c>
      <c r="C324" s="172" t="s">
        <v>73</v>
      </c>
      <c r="D324" s="173"/>
      <c r="E324" s="169">
        <f>SUM(E317:E323)</f>
        <v>0</v>
      </c>
      <c r="F324" s="169">
        <f>SUM(F317:F323)</f>
        <v>25355</v>
      </c>
      <c r="G324" s="169">
        <f>SUM(G317:G323)</f>
        <v>21999.87</v>
      </c>
      <c r="H324" s="169">
        <f>SUM(H317:H323)</f>
        <v>0</v>
      </c>
    </row>
    <row r="325" spans="1:8" s="4" customFormat="1" ht="12.75">
      <c r="A325" s="122"/>
      <c r="B325" s="123"/>
      <c r="C325" s="124"/>
      <c r="D325" s="125"/>
      <c r="E325" s="126"/>
      <c r="F325" s="126"/>
      <c r="G325" s="126"/>
      <c r="H325" s="126"/>
    </row>
    <row r="326" spans="1:8" s="4" customFormat="1" ht="12.75">
      <c r="A326" s="158" t="s">
        <v>427</v>
      </c>
      <c r="B326" s="159"/>
      <c r="C326" s="160"/>
      <c r="D326" s="161"/>
      <c r="E326" s="159"/>
      <c r="F326" s="159"/>
      <c r="G326" s="159"/>
      <c r="H326" s="159"/>
    </row>
    <row r="327" spans="1:8" s="4" customFormat="1" ht="12.75">
      <c r="A327" s="158"/>
      <c r="B327" s="159"/>
      <c r="C327" s="160"/>
      <c r="D327" s="161"/>
      <c r="E327" s="162" t="s">
        <v>61</v>
      </c>
      <c r="F327" s="162" t="s">
        <v>62</v>
      </c>
      <c r="G327" s="162" t="s">
        <v>63</v>
      </c>
      <c r="H327" s="162" t="s">
        <v>64</v>
      </c>
    </row>
    <row r="328" spans="1:8" s="4" customFormat="1" ht="12.75">
      <c r="A328" s="163" t="s">
        <v>232</v>
      </c>
      <c r="B328" s="164">
        <v>1</v>
      </c>
      <c r="C328" s="165" t="s">
        <v>49</v>
      </c>
      <c r="D328" s="166">
        <v>1200</v>
      </c>
      <c r="E328" s="163" t="s">
        <v>11</v>
      </c>
      <c r="F328" s="167">
        <f t="shared" ref="F328:F333" si="10">B328*D328</f>
        <v>1200</v>
      </c>
      <c r="G328" s="166" t="s">
        <v>11</v>
      </c>
      <c r="H328" s="163" t="s">
        <v>11</v>
      </c>
    </row>
    <row r="329" spans="1:8" s="4" customFormat="1" ht="12.75">
      <c r="A329" s="163" t="s">
        <v>425</v>
      </c>
      <c r="B329" s="164">
        <v>15</v>
      </c>
      <c r="C329" s="165" t="s">
        <v>66</v>
      </c>
      <c r="D329" s="166">
        <v>839</v>
      </c>
      <c r="E329" s="163" t="s">
        <v>11</v>
      </c>
      <c r="F329" s="167">
        <f t="shared" si="10"/>
        <v>12585</v>
      </c>
      <c r="G329" s="166" t="s">
        <v>11</v>
      </c>
      <c r="H329" s="163" t="s">
        <v>11</v>
      </c>
    </row>
    <row r="330" spans="1:8" s="4" customFormat="1" ht="12.75">
      <c r="A330" s="163" t="s">
        <v>423</v>
      </c>
      <c r="B330" s="164">
        <v>5</v>
      </c>
      <c r="C330" s="165" t="s">
        <v>66</v>
      </c>
      <c r="D330" s="163">
        <v>1300</v>
      </c>
      <c r="E330" s="163" t="s">
        <v>11</v>
      </c>
      <c r="F330" s="167">
        <f t="shared" si="10"/>
        <v>6500</v>
      </c>
      <c r="G330" s="166" t="s">
        <v>11</v>
      </c>
      <c r="H330" s="163" t="s">
        <v>11</v>
      </c>
    </row>
    <row r="331" spans="1:8" s="4" customFormat="1" ht="12.75">
      <c r="A331" s="163" t="s">
        <v>225</v>
      </c>
      <c r="B331" s="164">
        <v>2</v>
      </c>
      <c r="C331" s="165" t="s">
        <v>49</v>
      </c>
      <c r="D331" s="163">
        <v>190</v>
      </c>
      <c r="E331" s="163" t="s">
        <v>11</v>
      </c>
      <c r="F331" s="167">
        <f t="shared" si="10"/>
        <v>380</v>
      </c>
      <c r="G331" s="166" t="s">
        <v>11</v>
      </c>
      <c r="H331" s="163" t="s">
        <v>11</v>
      </c>
    </row>
    <row r="332" spans="1:8" s="4" customFormat="1" ht="12.75">
      <c r="A332" s="163" t="s">
        <v>226</v>
      </c>
      <c r="B332" s="164">
        <v>3</v>
      </c>
      <c r="C332" s="165" t="s">
        <v>49</v>
      </c>
      <c r="D332" s="163">
        <v>850</v>
      </c>
      <c r="E332" s="163" t="s">
        <v>11</v>
      </c>
      <c r="F332" s="167">
        <f t="shared" si="10"/>
        <v>2550</v>
      </c>
      <c r="G332" s="166" t="s">
        <v>11</v>
      </c>
      <c r="H332" s="163" t="s">
        <v>11</v>
      </c>
    </row>
    <row r="333" spans="1:8" s="4" customFormat="1" ht="12.75">
      <c r="A333" s="163" t="s">
        <v>233</v>
      </c>
      <c r="B333" s="164">
        <v>1</v>
      </c>
      <c r="C333" s="165" t="s">
        <v>49</v>
      </c>
      <c r="D333" s="166">
        <v>4000</v>
      </c>
      <c r="E333" s="163" t="s">
        <v>11</v>
      </c>
      <c r="F333" s="167">
        <f t="shared" si="10"/>
        <v>4000</v>
      </c>
      <c r="G333" s="166" t="s">
        <v>11</v>
      </c>
      <c r="H333" s="163" t="s">
        <v>11</v>
      </c>
    </row>
    <row r="334" spans="1:8" s="4" customFormat="1" ht="12.75">
      <c r="A334" s="163" t="s">
        <v>68</v>
      </c>
      <c r="B334" s="179">
        <v>0.129411</v>
      </c>
      <c r="C334" s="165" t="s">
        <v>69</v>
      </c>
      <c r="D334" s="166">
        <v>170000</v>
      </c>
      <c r="E334" s="163" t="s">
        <v>11</v>
      </c>
      <c r="F334" s="163" t="s">
        <v>11</v>
      </c>
      <c r="G334" s="166">
        <f>B334*D334</f>
        <v>21999.87</v>
      </c>
      <c r="H334" s="163" t="s">
        <v>11</v>
      </c>
    </row>
    <row r="335" spans="1:8" s="4" customFormat="1" ht="12.75">
      <c r="A335" s="170" t="s">
        <v>70</v>
      </c>
      <c r="B335" s="171">
        <f>ROUND((SUM(E335:H335)),0)</f>
        <v>49215</v>
      </c>
      <c r="C335" s="172" t="s">
        <v>73</v>
      </c>
      <c r="D335" s="173"/>
      <c r="E335" s="169">
        <f>SUM(E328:E334)</f>
        <v>0</v>
      </c>
      <c r="F335" s="169">
        <f>SUM(F328:F334)</f>
        <v>27215</v>
      </c>
      <c r="G335" s="169">
        <f>SUM(G328:G334)</f>
        <v>21999.87</v>
      </c>
      <c r="H335" s="169">
        <f>SUM(H328:H334)</f>
        <v>0</v>
      </c>
    </row>
    <row r="336" spans="1:8" s="4" customFormat="1" ht="12.75">
      <c r="A336" s="122"/>
      <c r="B336" s="123"/>
      <c r="C336" s="124"/>
      <c r="D336" s="125"/>
      <c r="E336" s="126"/>
      <c r="F336" s="126"/>
      <c r="G336" s="126"/>
      <c r="H336" s="126"/>
    </row>
    <row r="337" spans="1:8" s="4" customFormat="1" ht="12.75">
      <c r="A337" s="158" t="s">
        <v>428</v>
      </c>
      <c r="B337" s="159"/>
      <c r="C337" s="160"/>
      <c r="D337" s="161"/>
      <c r="E337" s="159"/>
      <c r="F337" s="159"/>
      <c r="G337" s="159"/>
      <c r="H337" s="159"/>
    </row>
    <row r="338" spans="1:8" s="4" customFormat="1" ht="12.75">
      <c r="A338" s="158"/>
      <c r="B338" s="159"/>
      <c r="C338" s="160"/>
      <c r="D338" s="161"/>
      <c r="E338" s="162" t="s">
        <v>61</v>
      </c>
      <c r="F338" s="162" t="s">
        <v>62</v>
      </c>
      <c r="G338" s="162" t="s">
        <v>63</v>
      </c>
      <c r="H338" s="162" t="s">
        <v>64</v>
      </c>
    </row>
    <row r="339" spans="1:8" s="4" customFormat="1" ht="12.75">
      <c r="A339" s="163" t="s">
        <v>232</v>
      </c>
      <c r="B339" s="164">
        <v>1</v>
      </c>
      <c r="C339" s="165" t="s">
        <v>49</v>
      </c>
      <c r="D339" s="166">
        <v>1200</v>
      </c>
      <c r="E339" s="163" t="s">
        <v>11</v>
      </c>
      <c r="F339" s="167">
        <f t="shared" ref="F339:F344" si="11">B339*D339</f>
        <v>1200</v>
      </c>
      <c r="G339" s="166" t="s">
        <v>11</v>
      </c>
      <c r="H339" s="163" t="s">
        <v>11</v>
      </c>
    </row>
    <row r="340" spans="1:8" s="4" customFormat="1" ht="12.75">
      <c r="A340" s="163" t="s">
        <v>201</v>
      </c>
      <c r="B340" s="164">
        <v>20</v>
      </c>
      <c r="C340" s="165" t="s">
        <v>66</v>
      </c>
      <c r="D340" s="166">
        <v>715</v>
      </c>
      <c r="E340" s="163" t="s">
        <v>11</v>
      </c>
      <c r="F340" s="167">
        <f t="shared" si="11"/>
        <v>14300</v>
      </c>
      <c r="G340" s="166" t="s">
        <v>11</v>
      </c>
      <c r="H340" s="163" t="s">
        <v>11</v>
      </c>
    </row>
    <row r="341" spans="1:8" s="4" customFormat="1" ht="12.75">
      <c r="A341" s="163" t="s">
        <v>423</v>
      </c>
      <c r="B341" s="164">
        <v>5</v>
      </c>
      <c r="C341" s="165" t="s">
        <v>66</v>
      </c>
      <c r="D341" s="163">
        <v>1300</v>
      </c>
      <c r="E341" s="163" t="s">
        <v>11</v>
      </c>
      <c r="F341" s="167">
        <f t="shared" si="11"/>
        <v>6500</v>
      </c>
      <c r="G341" s="166" t="s">
        <v>11</v>
      </c>
      <c r="H341" s="163" t="s">
        <v>11</v>
      </c>
    </row>
    <row r="342" spans="1:8" s="4" customFormat="1" ht="12.75">
      <c r="A342" s="163" t="s">
        <v>225</v>
      </c>
      <c r="B342" s="164">
        <v>2</v>
      </c>
      <c r="C342" s="165" t="s">
        <v>49</v>
      </c>
      <c r="D342" s="163">
        <v>190</v>
      </c>
      <c r="E342" s="163" t="s">
        <v>11</v>
      </c>
      <c r="F342" s="167">
        <f t="shared" si="11"/>
        <v>380</v>
      </c>
      <c r="G342" s="166" t="s">
        <v>11</v>
      </c>
      <c r="H342" s="163" t="s">
        <v>11</v>
      </c>
    </row>
    <row r="343" spans="1:8" s="4" customFormat="1" ht="12.75">
      <c r="A343" s="163" t="s">
        <v>226</v>
      </c>
      <c r="B343" s="164">
        <v>3</v>
      </c>
      <c r="C343" s="165" t="s">
        <v>49</v>
      </c>
      <c r="D343" s="163">
        <v>850</v>
      </c>
      <c r="E343" s="163" t="s">
        <v>11</v>
      </c>
      <c r="F343" s="167">
        <f t="shared" si="11"/>
        <v>2550</v>
      </c>
      <c r="G343" s="166" t="s">
        <v>11</v>
      </c>
      <c r="H343" s="163" t="s">
        <v>11</v>
      </c>
    </row>
    <row r="344" spans="1:8" s="4" customFormat="1" ht="12.75">
      <c r="A344" s="163" t="s">
        <v>235</v>
      </c>
      <c r="B344" s="164">
        <v>1</v>
      </c>
      <c r="C344" s="165" t="s">
        <v>49</v>
      </c>
      <c r="D344" s="166">
        <v>5500</v>
      </c>
      <c r="E344" s="163" t="s">
        <v>11</v>
      </c>
      <c r="F344" s="167">
        <f t="shared" si="11"/>
        <v>5500</v>
      </c>
      <c r="G344" s="166" t="s">
        <v>11</v>
      </c>
      <c r="H344" s="163" t="s">
        <v>11</v>
      </c>
    </row>
    <row r="345" spans="1:8" s="4" customFormat="1" ht="12.75">
      <c r="A345" s="163" t="s">
        <v>68</v>
      </c>
      <c r="B345" s="179">
        <v>0.129411</v>
      </c>
      <c r="C345" s="165" t="s">
        <v>69</v>
      </c>
      <c r="D345" s="166">
        <v>170000</v>
      </c>
      <c r="E345" s="163" t="s">
        <v>11</v>
      </c>
      <c r="F345" s="163" t="s">
        <v>11</v>
      </c>
      <c r="G345" s="166">
        <f>B345*D345</f>
        <v>21999.87</v>
      </c>
      <c r="H345" s="163" t="s">
        <v>11</v>
      </c>
    </row>
    <row r="346" spans="1:8" s="4" customFormat="1" ht="12.75">
      <c r="A346" s="170" t="s">
        <v>70</v>
      </c>
      <c r="B346" s="171">
        <f>ROUND((SUM(E346:H346)),0)</f>
        <v>52430</v>
      </c>
      <c r="C346" s="172" t="s">
        <v>73</v>
      </c>
      <c r="D346" s="173"/>
      <c r="E346" s="169">
        <f>SUM(E339:E345)</f>
        <v>0</v>
      </c>
      <c r="F346" s="169">
        <f>SUM(F339:F345)</f>
        <v>30430</v>
      </c>
      <c r="G346" s="169">
        <f>SUM(G339:G345)</f>
        <v>21999.87</v>
      </c>
      <c r="H346" s="169">
        <f>SUM(H339:H345)</f>
        <v>0</v>
      </c>
    </row>
    <row r="347" spans="1:8" s="4" customFormat="1" ht="12.75">
      <c r="A347" s="122"/>
      <c r="B347" s="123"/>
      <c r="C347" s="124"/>
      <c r="D347" s="125"/>
      <c r="E347" s="126"/>
      <c r="F347" s="126"/>
      <c r="G347" s="126"/>
      <c r="H347" s="126"/>
    </row>
    <row r="348" spans="1:8" s="4" customFormat="1" ht="12.75">
      <c r="A348" s="158" t="s">
        <v>429</v>
      </c>
      <c r="B348" s="159"/>
      <c r="C348" s="160"/>
      <c r="D348" s="161"/>
      <c r="E348" s="159"/>
      <c r="F348" s="159"/>
      <c r="G348" s="159"/>
      <c r="H348" s="159"/>
    </row>
    <row r="349" spans="1:8" s="4" customFormat="1" ht="12.75">
      <c r="A349" s="158"/>
      <c r="B349" s="159"/>
      <c r="C349" s="160"/>
      <c r="D349" s="161"/>
      <c r="E349" s="162" t="s">
        <v>61</v>
      </c>
      <c r="F349" s="162" t="s">
        <v>62</v>
      </c>
      <c r="G349" s="162" t="s">
        <v>63</v>
      </c>
      <c r="H349" s="162" t="s">
        <v>64</v>
      </c>
    </row>
    <row r="350" spans="1:8" s="4" customFormat="1" ht="12.75">
      <c r="A350" s="163" t="s">
        <v>232</v>
      </c>
      <c r="B350" s="164">
        <v>1</v>
      </c>
      <c r="C350" s="165" t="s">
        <v>49</v>
      </c>
      <c r="D350" s="166">
        <v>1200</v>
      </c>
      <c r="E350" s="163" t="s">
        <v>11</v>
      </c>
      <c r="F350" s="167">
        <f t="shared" ref="F350:F355" si="12">B350*D350</f>
        <v>1200</v>
      </c>
      <c r="G350" s="166" t="s">
        <v>11</v>
      </c>
      <c r="H350" s="163" t="s">
        <v>11</v>
      </c>
    </row>
    <row r="351" spans="1:8" s="4" customFormat="1" ht="12.75">
      <c r="A351" s="163" t="s">
        <v>425</v>
      </c>
      <c r="B351" s="164">
        <v>20</v>
      </c>
      <c r="C351" s="165" t="s">
        <v>66</v>
      </c>
      <c r="D351" s="166">
        <v>839</v>
      </c>
      <c r="E351" s="163" t="s">
        <v>11</v>
      </c>
      <c r="F351" s="167">
        <f t="shared" si="12"/>
        <v>16780</v>
      </c>
      <c r="G351" s="166" t="s">
        <v>11</v>
      </c>
      <c r="H351" s="163" t="s">
        <v>11</v>
      </c>
    </row>
    <row r="352" spans="1:8" s="4" customFormat="1" ht="12.75">
      <c r="A352" s="163" t="s">
        <v>423</v>
      </c>
      <c r="B352" s="164">
        <v>5</v>
      </c>
      <c r="C352" s="165" t="s">
        <v>66</v>
      </c>
      <c r="D352" s="163">
        <v>1300</v>
      </c>
      <c r="E352" s="163" t="s">
        <v>11</v>
      </c>
      <c r="F352" s="167">
        <f t="shared" si="12"/>
        <v>6500</v>
      </c>
      <c r="G352" s="166" t="s">
        <v>11</v>
      </c>
      <c r="H352" s="163" t="s">
        <v>11</v>
      </c>
    </row>
    <row r="353" spans="1:8" s="4" customFormat="1" ht="12.75">
      <c r="A353" s="163" t="s">
        <v>225</v>
      </c>
      <c r="B353" s="164">
        <v>2</v>
      </c>
      <c r="C353" s="165" t="s">
        <v>49</v>
      </c>
      <c r="D353" s="163">
        <v>190</v>
      </c>
      <c r="E353" s="163" t="s">
        <v>11</v>
      </c>
      <c r="F353" s="167">
        <f t="shared" si="12"/>
        <v>380</v>
      </c>
      <c r="G353" s="166" t="s">
        <v>11</v>
      </c>
      <c r="H353" s="163" t="s">
        <v>11</v>
      </c>
    </row>
    <row r="354" spans="1:8" s="4" customFormat="1" ht="12.75">
      <c r="A354" s="163" t="s">
        <v>226</v>
      </c>
      <c r="B354" s="164">
        <v>3</v>
      </c>
      <c r="C354" s="165" t="s">
        <v>49</v>
      </c>
      <c r="D354" s="163">
        <v>850</v>
      </c>
      <c r="E354" s="163" t="s">
        <v>11</v>
      </c>
      <c r="F354" s="167">
        <f t="shared" si="12"/>
        <v>2550</v>
      </c>
      <c r="G354" s="166" t="s">
        <v>11</v>
      </c>
      <c r="H354" s="163" t="s">
        <v>11</v>
      </c>
    </row>
    <row r="355" spans="1:8" s="4" customFormat="1" ht="12.75">
      <c r="A355" s="163" t="s">
        <v>235</v>
      </c>
      <c r="B355" s="164">
        <v>1</v>
      </c>
      <c r="C355" s="165" t="s">
        <v>49</v>
      </c>
      <c r="D355" s="166">
        <v>5500</v>
      </c>
      <c r="E355" s="163" t="s">
        <v>11</v>
      </c>
      <c r="F355" s="167">
        <f t="shared" si="12"/>
        <v>5500</v>
      </c>
      <c r="G355" s="166" t="s">
        <v>11</v>
      </c>
      <c r="H355" s="163" t="s">
        <v>11</v>
      </c>
    </row>
    <row r="356" spans="1:8" s="4" customFormat="1" ht="12.75">
      <c r="A356" s="163" t="s">
        <v>68</v>
      </c>
      <c r="B356" s="179">
        <v>0.129411</v>
      </c>
      <c r="C356" s="165" t="s">
        <v>69</v>
      </c>
      <c r="D356" s="166">
        <v>170000</v>
      </c>
      <c r="E356" s="163" t="s">
        <v>11</v>
      </c>
      <c r="F356" s="163" t="s">
        <v>11</v>
      </c>
      <c r="G356" s="166">
        <f>B356*D356</f>
        <v>21999.87</v>
      </c>
      <c r="H356" s="163" t="s">
        <v>11</v>
      </c>
    </row>
    <row r="357" spans="1:8" s="4" customFormat="1" ht="12.75">
      <c r="A357" s="170" t="s">
        <v>70</v>
      </c>
      <c r="B357" s="171">
        <f>ROUND((SUM(E357:H357)),0)</f>
        <v>54910</v>
      </c>
      <c r="C357" s="172" t="s">
        <v>73</v>
      </c>
      <c r="D357" s="173"/>
      <c r="E357" s="169">
        <f>SUM(E350:E356)</f>
        <v>0</v>
      </c>
      <c r="F357" s="169">
        <f>SUM(F350:F356)</f>
        <v>32910</v>
      </c>
      <c r="G357" s="169">
        <f>SUM(G350:G356)</f>
        <v>21999.87</v>
      </c>
      <c r="H357" s="169">
        <f>SUM(H350:H356)</f>
        <v>0</v>
      </c>
    </row>
    <row r="358" spans="1:8" s="4" customFormat="1" ht="12.75">
      <c r="A358" s="122"/>
      <c r="B358" s="123"/>
      <c r="C358" s="124"/>
      <c r="D358" s="125"/>
      <c r="E358" s="126"/>
      <c r="F358" s="126"/>
      <c r="G358" s="126"/>
      <c r="H358" s="126"/>
    </row>
    <row r="359" spans="1:8" s="4" customFormat="1" ht="12.75">
      <c r="A359" s="122"/>
      <c r="B359" s="123"/>
      <c r="C359" s="124"/>
      <c r="D359" s="125"/>
      <c r="E359" s="126"/>
      <c r="F359" s="126"/>
      <c r="G359" s="126"/>
      <c r="H359" s="126"/>
    </row>
    <row r="360" spans="1:8" s="4" customFormat="1" ht="12.75">
      <c r="A360" s="158" t="s">
        <v>430</v>
      </c>
      <c r="B360" s="159"/>
      <c r="C360" s="160"/>
      <c r="D360" s="161"/>
      <c r="E360" s="159"/>
      <c r="F360" s="159"/>
      <c r="G360" s="159"/>
      <c r="H360" s="159"/>
    </row>
    <row r="361" spans="1:8" s="4" customFormat="1" ht="12.75">
      <c r="A361" s="158"/>
      <c r="B361" s="159"/>
      <c r="C361" s="160"/>
      <c r="D361" s="161"/>
      <c r="E361" s="162" t="s">
        <v>61</v>
      </c>
      <c r="F361" s="162" t="s">
        <v>62</v>
      </c>
      <c r="G361" s="162" t="s">
        <v>63</v>
      </c>
      <c r="H361" s="162" t="s">
        <v>64</v>
      </c>
    </row>
    <row r="362" spans="1:8" s="4" customFormat="1" ht="12.75">
      <c r="A362" s="163" t="s">
        <v>232</v>
      </c>
      <c r="B362" s="164">
        <v>1</v>
      </c>
      <c r="C362" s="165" t="s">
        <v>49</v>
      </c>
      <c r="D362" s="166">
        <v>1200</v>
      </c>
      <c r="E362" s="163" t="s">
        <v>11</v>
      </c>
      <c r="F362" s="167">
        <f t="shared" ref="F362:F367" si="13">B362*D362</f>
        <v>1200</v>
      </c>
      <c r="G362" s="166" t="s">
        <v>11</v>
      </c>
      <c r="H362" s="163" t="s">
        <v>11</v>
      </c>
    </row>
    <row r="363" spans="1:8" s="4" customFormat="1" ht="12.75">
      <c r="A363" s="163" t="s">
        <v>201</v>
      </c>
      <c r="B363" s="164">
        <v>20</v>
      </c>
      <c r="C363" s="165" t="s">
        <v>66</v>
      </c>
      <c r="D363" s="166">
        <v>715</v>
      </c>
      <c r="E363" s="163" t="s">
        <v>11</v>
      </c>
      <c r="F363" s="167">
        <f t="shared" si="13"/>
        <v>14300</v>
      </c>
      <c r="G363" s="166" t="s">
        <v>11</v>
      </c>
      <c r="H363" s="163" t="s">
        <v>11</v>
      </c>
    </row>
    <row r="364" spans="1:8" s="4" customFormat="1" ht="12.75">
      <c r="A364" s="163" t="s">
        <v>423</v>
      </c>
      <c r="B364" s="164">
        <v>5</v>
      </c>
      <c r="C364" s="165" t="s">
        <v>66</v>
      </c>
      <c r="D364" s="163">
        <v>1300</v>
      </c>
      <c r="E364" s="163" t="s">
        <v>11</v>
      </c>
      <c r="F364" s="167">
        <f t="shared" si="13"/>
        <v>6500</v>
      </c>
      <c r="G364" s="166" t="s">
        <v>11</v>
      </c>
      <c r="H364" s="163" t="s">
        <v>11</v>
      </c>
    </row>
    <row r="365" spans="1:8" s="4" customFormat="1" ht="12.75">
      <c r="A365" s="163" t="s">
        <v>225</v>
      </c>
      <c r="B365" s="164">
        <v>2</v>
      </c>
      <c r="C365" s="165" t="s">
        <v>49</v>
      </c>
      <c r="D365" s="163">
        <v>190</v>
      </c>
      <c r="E365" s="163" t="s">
        <v>11</v>
      </c>
      <c r="F365" s="167">
        <f t="shared" si="13"/>
        <v>380</v>
      </c>
      <c r="G365" s="166" t="s">
        <v>11</v>
      </c>
      <c r="H365" s="163" t="s">
        <v>11</v>
      </c>
    </row>
    <row r="366" spans="1:8" s="4" customFormat="1" ht="12.75">
      <c r="A366" s="163" t="s">
        <v>226</v>
      </c>
      <c r="B366" s="164">
        <v>3</v>
      </c>
      <c r="C366" s="165" t="s">
        <v>49</v>
      </c>
      <c r="D366" s="163">
        <v>850</v>
      </c>
      <c r="E366" s="163" t="s">
        <v>11</v>
      </c>
      <c r="F366" s="167">
        <f t="shared" si="13"/>
        <v>2550</v>
      </c>
      <c r="G366" s="166" t="s">
        <v>11</v>
      </c>
      <c r="H366" s="163" t="s">
        <v>11</v>
      </c>
    </row>
    <row r="367" spans="1:8" s="4" customFormat="1" ht="12.75">
      <c r="A367" s="163" t="s">
        <v>431</v>
      </c>
      <c r="B367" s="164">
        <v>1</v>
      </c>
      <c r="C367" s="165" t="s">
        <v>49</v>
      </c>
      <c r="D367" s="166">
        <v>6500</v>
      </c>
      <c r="E367" s="163" t="s">
        <v>11</v>
      </c>
      <c r="F367" s="167">
        <f t="shared" si="13"/>
        <v>6500</v>
      </c>
      <c r="G367" s="166" t="s">
        <v>11</v>
      </c>
      <c r="H367" s="163" t="s">
        <v>11</v>
      </c>
    </row>
    <row r="368" spans="1:8" s="4" customFormat="1" ht="12.75">
      <c r="A368" s="163" t="s">
        <v>68</v>
      </c>
      <c r="B368" s="179">
        <v>0.129411</v>
      </c>
      <c r="C368" s="165" t="s">
        <v>69</v>
      </c>
      <c r="D368" s="166">
        <v>170000</v>
      </c>
      <c r="E368" s="163" t="s">
        <v>11</v>
      </c>
      <c r="F368" s="163" t="s">
        <v>11</v>
      </c>
      <c r="G368" s="166">
        <f>B368*D368</f>
        <v>21999.87</v>
      </c>
      <c r="H368" s="163" t="s">
        <v>11</v>
      </c>
    </row>
    <row r="369" spans="1:8" s="4" customFormat="1" ht="12.75">
      <c r="A369" s="170" t="s">
        <v>70</v>
      </c>
      <c r="B369" s="171">
        <f>ROUND((SUM(E369:H369)),0)</f>
        <v>53430</v>
      </c>
      <c r="C369" s="172" t="s">
        <v>73</v>
      </c>
      <c r="D369" s="173"/>
      <c r="E369" s="169">
        <f>SUM(E362:E368)</f>
        <v>0</v>
      </c>
      <c r="F369" s="169">
        <f>SUM(F362:F368)</f>
        <v>31430</v>
      </c>
      <c r="G369" s="169">
        <f>SUM(G362:G368)</f>
        <v>21999.87</v>
      </c>
      <c r="H369" s="169">
        <f>SUM(H362:H368)</f>
        <v>0</v>
      </c>
    </row>
    <row r="371" spans="1:8" s="4" customFormat="1" ht="12.75">
      <c r="A371" s="158" t="s">
        <v>432</v>
      </c>
      <c r="B371" s="159"/>
      <c r="C371" s="160"/>
      <c r="D371" s="161"/>
      <c r="E371" s="159"/>
      <c r="F371" s="159"/>
      <c r="G371" s="159"/>
      <c r="H371" s="159"/>
    </row>
    <row r="372" spans="1:8" s="4" customFormat="1" ht="12.75">
      <c r="A372" s="158"/>
      <c r="B372" s="159"/>
      <c r="C372" s="160"/>
      <c r="D372" s="161"/>
      <c r="E372" s="162" t="s">
        <v>61</v>
      </c>
      <c r="F372" s="162" t="s">
        <v>62</v>
      </c>
      <c r="G372" s="162" t="s">
        <v>63</v>
      </c>
      <c r="H372" s="162" t="s">
        <v>64</v>
      </c>
    </row>
    <row r="373" spans="1:8" s="4" customFormat="1" ht="12.75">
      <c r="A373" s="163" t="s">
        <v>232</v>
      </c>
      <c r="B373" s="164">
        <v>1</v>
      </c>
      <c r="C373" s="165" t="s">
        <v>49</v>
      </c>
      <c r="D373" s="166">
        <v>1200</v>
      </c>
      <c r="E373" s="163" t="s">
        <v>11</v>
      </c>
      <c r="F373" s="167">
        <f t="shared" ref="F373:F378" si="14">B373*D373</f>
        <v>1200</v>
      </c>
      <c r="G373" s="166" t="s">
        <v>11</v>
      </c>
      <c r="H373" s="163" t="s">
        <v>11</v>
      </c>
    </row>
    <row r="374" spans="1:8" s="4" customFormat="1" ht="12.75">
      <c r="A374" s="163" t="s">
        <v>201</v>
      </c>
      <c r="B374" s="164">
        <v>25</v>
      </c>
      <c r="C374" s="165" t="s">
        <v>66</v>
      </c>
      <c r="D374" s="166">
        <v>715</v>
      </c>
      <c r="E374" s="163" t="s">
        <v>11</v>
      </c>
      <c r="F374" s="167">
        <f t="shared" si="14"/>
        <v>17875</v>
      </c>
      <c r="G374" s="166" t="s">
        <v>11</v>
      </c>
      <c r="H374" s="163" t="s">
        <v>11</v>
      </c>
    </row>
    <row r="375" spans="1:8" s="4" customFormat="1" ht="12.75">
      <c r="A375" s="163" t="s">
        <v>423</v>
      </c>
      <c r="B375" s="164">
        <v>5</v>
      </c>
      <c r="C375" s="165" t="s">
        <v>66</v>
      </c>
      <c r="D375" s="163">
        <v>1300</v>
      </c>
      <c r="E375" s="163" t="s">
        <v>11</v>
      </c>
      <c r="F375" s="167">
        <f t="shared" si="14"/>
        <v>6500</v>
      </c>
      <c r="G375" s="166" t="s">
        <v>11</v>
      </c>
      <c r="H375" s="163" t="s">
        <v>11</v>
      </c>
    </row>
    <row r="376" spans="1:8" s="4" customFormat="1" ht="12.75">
      <c r="A376" s="163" t="s">
        <v>225</v>
      </c>
      <c r="B376" s="164">
        <v>2</v>
      </c>
      <c r="C376" s="165" t="s">
        <v>49</v>
      </c>
      <c r="D376" s="163">
        <v>190</v>
      </c>
      <c r="E376" s="163" t="s">
        <v>11</v>
      </c>
      <c r="F376" s="167">
        <f t="shared" si="14"/>
        <v>380</v>
      </c>
      <c r="G376" s="166" t="s">
        <v>11</v>
      </c>
      <c r="H376" s="163" t="s">
        <v>11</v>
      </c>
    </row>
    <row r="377" spans="1:8" s="4" customFormat="1" ht="12.75">
      <c r="A377" s="163" t="s">
        <v>226</v>
      </c>
      <c r="B377" s="164">
        <v>6</v>
      </c>
      <c r="C377" s="165" t="s">
        <v>49</v>
      </c>
      <c r="D377" s="163">
        <v>850</v>
      </c>
      <c r="E377" s="163" t="s">
        <v>11</v>
      </c>
      <c r="F377" s="167">
        <f t="shared" si="14"/>
        <v>5100</v>
      </c>
      <c r="G377" s="166" t="s">
        <v>11</v>
      </c>
      <c r="H377" s="163" t="s">
        <v>11</v>
      </c>
    </row>
    <row r="378" spans="1:8" s="4" customFormat="1" ht="12.75">
      <c r="A378" s="163" t="s">
        <v>239</v>
      </c>
      <c r="B378" s="164">
        <v>1</v>
      </c>
      <c r="C378" s="165" t="s">
        <v>49</v>
      </c>
      <c r="D378" s="166">
        <v>8500</v>
      </c>
      <c r="E378" s="163" t="s">
        <v>11</v>
      </c>
      <c r="F378" s="167">
        <f t="shared" si="14"/>
        <v>8500</v>
      </c>
      <c r="G378" s="166" t="s">
        <v>11</v>
      </c>
      <c r="H378" s="163" t="s">
        <v>11</v>
      </c>
    </row>
    <row r="379" spans="1:8" s="4" customFormat="1" ht="12.75">
      <c r="A379" s="163" t="s">
        <v>68</v>
      </c>
      <c r="B379" s="179">
        <v>0.129411</v>
      </c>
      <c r="C379" s="165" t="s">
        <v>69</v>
      </c>
      <c r="D379" s="166">
        <v>170000</v>
      </c>
      <c r="E379" s="163" t="s">
        <v>11</v>
      </c>
      <c r="F379" s="163" t="s">
        <v>11</v>
      </c>
      <c r="G379" s="166">
        <f>B379*D379</f>
        <v>21999.87</v>
      </c>
      <c r="H379" s="163" t="s">
        <v>11</v>
      </c>
    </row>
    <row r="380" spans="1:8" s="4" customFormat="1" ht="12.75">
      <c r="A380" s="170" t="s">
        <v>70</v>
      </c>
      <c r="B380" s="171">
        <f>ROUND((SUM(E380:H380)),0)</f>
        <v>61555</v>
      </c>
      <c r="C380" s="172" t="s">
        <v>73</v>
      </c>
      <c r="D380" s="173"/>
      <c r="E380" s="169">
        <f>SUM(E373:E379)</f>
        <v>0</v>
      </c>
      <c r="F380" s="169">
        <f>SUM(F373:F379)</f>
        <v>39555</v>
      </c>
      <c r="G380" s="169">
        <f>SUM(G373:G379)</f>
        <v>21999.87</v>
      </c>
      <c r="H380" s="169">
        <f>SUM(H373:H379)</f>
        <v>0</v>
      </c>
    </row>
    <row r="382" spans="1:8">
      <c r="A382" s="158" t="s">
        <v>433</v>
      </c>
      <c r="B382" s="159"/>
      <c r="C382" s="160"/>
      <c r="D382" s="161"/>
      <c r="E382" s="159"/>
      <c r="F382" s="159"/>
      <c r="G382" s="159"/>
      <c r="H382" s="159"/>
    </row>
    <row r="383" spans="1:8">
      <c r="A383" s="158"/>
      <c r="B383" s="159"/>
      <c r="C383" s="160"/>
      <c r="D383" s="161"/>
      <c r="E383" s="162" t="s">
        <v>61</v>
      </c>
      <c r="F383" s="162" t="s">
        <v>62</v>
      </c>
      <c r="G383" s="162" t="s">
        <v>63</v>
      </c>
      <c r="H383" s="162" t="s">
        <v>64</v>
      </c>
    </row>
    <row r="384" spans="1:8">
      <c r="A384" s="163" t="s">
        <v>232</v>
      </c>
      <c r="B384" s="164">
        <v>1</v>
      </c>
      <c r="C384" s="165" t="s">
        <v>49</v>
      </c>
      <c r="D384" s="166">
        <v>1200</v>
      </c>
      <c r="E384" s="163" t="s">
        <v>11</v>
      </c>
      <c r="F384" s="167">
        <f t="shared" ref="F384:F389" si="15">B384*D384</f>
        <v>1200</v>
      </c>
      <c r="G384" s="166" t="s">
        <v>11</v>
      </c>
      <c r="H384" s="163" t="s">
        <v>11</v>
      </c>
    </row>
    <row r="385" spans="1:8" s="4" customFormat="1" ht="12.75">
      <c r="A385" s="163" t="s">
        <v>425</v>
      </c>
      <c r="B385" s="164">
        <v>25</v>
      </c>
      <c r="C385" s="165" t="s">
        <v>66</v>
      </c>
      <c r="D385" s="166">
        <v>839</v>
      </c>
      <c r="E385" s="163" t="s">
        <v>11</v>
      </c>
      <c r="F385" s="167">
        <f t="shared" si="15"/>
        <v>20975</v>
      </c>
      <c r="G385" s="166" t="s">
        <v>11</v>
      </c>
      <c r="H385" s="163" t="s">
        <v>11</v>
      </c>
    </row>
    <row r="386" spans="1:8">
      <c r="A386" s="163" t="s">
        <v>423</v>
      </c>
      <c r="B386" s="164">
        <v>5</v>
      </c>
      <c r="C386" s="165" t="s">
        <v>66</v>
      </c>
      <c r="D386" s="163">
        <v>1300</v>
      </c>
      <c r="E386" s="163" t="s">
        <v>11</v>
      </c>
      <c r="F386" s="167">
        <f t="shared" si="15"/>
        <v>6500</v>
      </c>
      <c r="G386" s="166" t="s">
        <v>11</v>
      </c>
      <c r="H386" s="163" t="s">
        <v>11</v>
      </c>
    </row>
    <row r="387" spans="1:8">
      <c r="A387" s="163" t="s">
        <v>225</v>
      </c>
      <c r="B387" s="164">
        <v>2</v>
      </c>
      <c r="C387" s="165" t="s">
        <v>49</v>
      </c>
      <c r="D387" s="163">
        <v>190</v>
      </c>
      <c r="E387" s="163" t="s">
        <v>11</v>
      </c>
      <c r="F387" s="167">
        <f t="shared" si="15"/>
        <v>380</v>
      </c>
      <c r="G387" s="166" t="s">
        <v>11</v>
      </c>
      <c r="H387" s="163" t="s">
        <v>11</v>
      </c>
    </row>
    <row r="388" spans="1:8">
      <c r="A388" s="163" t="s">
        <v>226</v>
      </c>
      <c r="B388" s="164">
        <v>6</v>
      </c>
      <c r="C388" s="165" t="s">
        <v>49</v>
      </c>
      <c r="D388" s="163">
        <v>850</v>
      </c>
      <c r="E388" s="163" t="s">
        <v>11</v>
      </c>
      <c r="F388" s="167">
        <f t="shared" si="15"/>
        <v>5100</v>
      </c>
      <c r="G388" s="166" t="s">
        <v>11</v>
      </c>
      <c r="H388" s="163" t="s">
        <v>11</v>
      </c>
    </row>
    <row r="389" spans="1:8">
      <c r="A389" s="163" t="s">
        <v>239</v>
      </c>
      <c r="B389" s="164">
        <v>1</v>
      </c>
      <c r="C389" s="165" t="s">
        <v>49</v>
      </c>
      <c r="D389" s="166">
        <v>8500</v>
      </c>
      <c r="E389" s="163" t="s">
        <v>11</v>
      </c>
      <c r="F389" s="167">
        <f t="shared" si="15"/>
        <v>8500</v>
      </c>
      <c r="G389" s="166" t="s">
        <v>11</v>
      </c>
      <c r="H389" s="163" t="s">
        <v>11</v>
      </c>
    </row>
    <row r="390" spans="1:8">
      <c r="A390" s="163" t="s">
        <v>68</v>
      </c>
      <c r="B390" s="179">
        <v>0.129411</v>
      </c>
      <c r="C390" s="165" t="s">
        <v>69</v>
      </c>
      <c r="D390" s="166">
        <v>170000</v>
      </c>
      <c r="E390" s="163" t="s">
        <v>11</v>
      </c>
      <c r="F390" s="163" t="s">
        <v>11</v>
      </c>
      <c r="G390" s="166">
        <f>B390*D390</f>
        <v>21999.87</v>
      </c>
      <c r="H390" s="163" t="s">
        <v>11</v>
      </c>
    </row>
    <row r="391" spans="1:8">
      <c r="A391" s="170" t="s">
        <v>70</v>
      </c>
      <c r="B391" s="171">
        <f>ROUND((SUM(E391:H391)),0)</f>
        <v>64655</v>
      </c>
      <c r="C391" s="172" t="s">
        <v>73</v>
      </c>
      <c r="D391" s="173"/>
      <c r="E391" s="169">
        <f>SUM(E384:E390)</f>
        <v>0</v>
      </c>
      <c r="F391" s="169">
        <f>SUM(F384:F390)</f>
        <v>42655</v>
      </c>
      <c r="G391" s="169">
        <f>SUM(G384:G390)</f>
        <v>21999.87</v>
      </c>
      <c r="H391" s="169">
        <f>SUM(H384:H390)</f>
        <v>0</v>
      </c>
    </row>
    <row r="399" spans="1:8" s="4" customFormat="1" ht="12.75">
      <c r="A399" s="158" t="s">
        <v>434</v>
      </c>
      <c r="B399" s="159"/>
      <c r="C399" s="160"/>
      <c r="D399" s="161"/>
      <c r="E399" s="159"/>
      <c r="F399" s="159"/>
      <c r="G399" s="159"/>
      <c r="H399" s="159"/>
    </row>
    <row r="400" spans="1:8" s="4" customFormat="1" ht="12.75">
      <c r="A400" s="158"/>
      <c r="B400" s="159"/>
      <c r="C400" s="160"/>
      <c r="D400" s="161"/>
      <c r="E400" s="162" t="s">
        <v>61</v>
      </c>
      <c r="F400" s="162" t="s">
        <v>62</v>
      </c>
      <c r="G400" s="162" t="s">
        <v>63</v>
      </c>
      <c r="H400" s="162" t="s">
        <v>64</v>
      </c>
    </row>
    <row r="401" spans="1:8" s="4" customFormat="1" ht="12.75">
      <c r="A401" s="163" t="s">
        <v>232</v>
      </c>
      <c r="B401" s="164">
        <v>1</v>
      </c>
      <c r="C401" s="165" t="s">
        <v>49</v>
      </c>
      <c r="D401" s="166">
        <v>1200</v>
      </c>
      <c r="E401" s="163" t="s">
        <v>11</v>
      </c>
      <c r="F401" s="167">
        <f t="shared" ref="F401:F406" si="16">B401*D401</f>
        <v>1200</v>
      </c>
      <c r="G401" s="166" t="s">
        <v>11</v>
      </c>
      <c r="H401" s="163" t="s">
        <v>11</v>
      </c>
    </row>
    <row r="402" spans="1:8" s="4" customFormat="1" ht="12.75">
      <c r="A402" s="163" t="s">
        <v>201</v>
      </c>
      <c r="B402" s="164">
        <v>30</v>
      </c>
      <c r="C402" s="165" t="s">
        <v>66</v>
      </c>
      <c r="D402" s="166">
        <v>715</v>
      </c>
      <c r="E402" s="163" t="s">
        <v>11</v>
      </c>
      <c r="F402" s="167">
        <f t="shared" si="16"/>
        <v>21450</v>
      </c>
      <c r="G402" s="166" t="s">
        <v>11</v>
      </c>
      <c r="H402" s="163" t="s">
        <v>11</v>
      </c>
    </row>
    <row r="403" spans="1:8" s="4" customFormat="1" ht="12.75">
      <c r="A403" s="163" t="s">
        <v>423</v>
      </c>
      <c r="B403" s="164">
        <v>5</v>
      </c>
      <c r="C403" s="165" t="s">
        <v>66</v>
      </c>
      <c r="D403" s="163">
        <v>1300</v>
      </c>
      <c r="E403" s="163" t="s">
        <v>11</v>
      </c>
      <c r="F403" s="167">
        <f t="shared" si="16"/>
        <v>6500</v>
      </c>
      <c r="G403" s="166" t="s">
        <v>11</v>
      </c>
      <c r="H403" s="163" t="s">
        <v>11</v>
      </c>
    </row>
    <row r="404" spans="1:8" s="4" customFormat="1" ht="12.75">
      <c r="A404" s="163" t="s">
        <v>225</v>
      </c>
      <c r="B404" s="164">
        <v>2</v>
      </c>
      <c r="C404" s="165" t="s">
        <v>49</v>
      </c>
      <c r="D404" s="163">
        <v>190</v>
      </c>
      <c r="E404" s="163" t="s">
        <v>11</v>
      </c>
      <c r="F404" s="167">
        <f t="shared" si="16"/>
        <v>380</v>
      </c>
      <c r="G404" s="166" t="s">
        <v>11</v>
      </c>
      <c r="H404" s="163" t="s">
        <v>11</v>
      </c>
    </row>
    <row r="405" spans="1:8" s="4" customFormat="1" ht="12.75">
      <c r="A405" s="163" t="s">
        <v>226</v>
      </c>
      <c r="B405" s="164">
        <v>6</v>
      </c>
      <c r="C405" s="165" t="s">
        <v>49</v>
      </c>
      <c r="D405" s="163">
        <v>850</v>
      </c>
      <c r="E405" s="163" t="s">
        <v>11</v>
      </c>
      <c r="F405" s="167">
        <f t="shared" si="16"/>
        <v>5100</v>
      </c>
      <c r="G405" s="166" t="s">
        <v>11</v>
      </c>
      <c r="H405" s="163" t="s">
        <v>11</v>
      </c>
    </row>
    <row r="406" spans="1:8" s="4" customFormat="1" ht="12.75">
      <c r="A406" s="163" t="s">
        <v>274</v>
      </c>
      <c r="B406" s="164">
        <v>1</v>
      </c>
      <c r="C406" s="165" t="s">
        <v>49</v>
      </c>
      <c r="D406" s="166">
        <v>12000</v>
      </c>
      <c r="E406" s="163" t="s">
        <v>11</v>
      </c>
      <c r="F406" s="167">
        <f t="shared" si="16"/>
        <v>12000</v>
      </c>
      <c r="G406" s="166" t="s">
        <v>11</v>
      </c>
      <c r="H406" s="163" t="s">
        <v>11</v>
      </c>
    </row>
    <row r="407" spans="1:8" s="4" customFormat="1" ht="12.75">
      <c r="A407" s="163" t="s">
        <v>68</v>
      </c>
      <c r="B407" s="179">
        <v>0.129411</v>
      </c>
      <c r="C407" s="165" t="s">
        <v>69</v>
      </c>
      <c r="D407" s="166">
        <v>170000</v>
      </c>
      <c r="E407" s="163" t="s">
        <v>11</v>
      </c>
      <c r="F407" s="163" t="s">
        <v>11</v>
      </c>
      <c r="G407" s="166">
        <f>B407*D407</f>
        <v>21999.87</v>
      </c>
      <c r="H407" s="163" t="s">
        <v>11</v>
      </c>
    </row>
    <row r="408" spans="1:8" s="4" customFormat="1" ht="12.75">
      <c r="A408" s="170" t="s">
        <v>70</v>
      </c>
      <c r="B408" s="171">
        <f>ROUND((SUM(E408:H408)),0)</f>
        <v>68630</v>
      </c>
      <c r="C408" s="172" t="s">
        <v>73</v>
      </c>
      <c r="D408" s="173"/>
      <c r="E408" s="169">
        <f>SUM(E401:E407)</f>
        <v>0</v>
      </c>
      <c r="F408" s="169">
        <f>SUM(F401:F407)</f>
        <v>46630</v>
      </c>
      <c r="G408" s="169">
        <f>SUM(G401:G407)</f>
        <v>21999.87</v>
      </c>
      <c r="H408" s="169">
        <f>SUM(H401:H407)</f>
        <v>0</v>
      </c>
    </row>
    <row r="410" spans="1:8" s="4" customFormat="1" ht="12.75">
      <c r="A410" s="158" t="s">
        <v>435</v>
      </c>
      <c r="B410" s="159"/>
      <c r="C410" s="160"/>
      <c r="D410" s="161"/>
      <c r="E410" s="159"/>
      <c r="F410" s="159"/>
      <c r="G410" s="159"/>
      <c r="H410" s="159"/>
    </row>
    <row r="411" spans="1:8" s="4" customFormat="1" ht="12.75">
      <c r="A411" s="158"/>
      <c r="B411" s="159"/>
      <c r="C411" s="160"/>
      <c r="D411" s="161"/>
      <c r="E411" s="162" t="s">
        <v>61</v>
      </c>
      <c r="F411" s="162" t="s">
        <v>62</v>
      </c>
      <c r="G411" s="162" t="s">
        <v>63</v>
      </c>
      <c r="H411" s="162" t="s">
        <v>64</v>
      </c>
    </row>
    <row r="412" spans="1:8" s="4" customFormat="1" ht="12.75">
      <c r="A412" s="163" t="s">
        <v>232</v>
      </c>
      <c r="B412" s="164">
        <v>1</v>
      </c>
      <c r="C412" s="165" t="s">
        <v>49</v>
      </c>
      <c r="D412" s="166">
        <v>1200</v>
      </c>
      <c r="E412" s="163" t="s">
        <v>11</v>
      </c>
      <c r="F412" s="167">
        <f t="shared" ref="F412:F417" si="17">B412*D412</f>
        <v>1200</v>
      </c>
      <c r="G412" s="166" t="s">
        <v>11</v>
      </c>
      <c r="H412" s="163" t="s">
        <v>11</v>
      </c>
    </row>
    <row r="413" spans="1:8" s="4" customFormat="1" ht="12.75">
      <c r="A413" s="163" t="s">
        <v>201</v>
      </c>
      <c r="B413" s="164">
        <v>15</v>
      </c>
      <c r="C413" s="165" t="s">
        <v>66</v>
      </c>
      <c r="D413" s="166">
        <v>715</v>
      </c>
      <c r="E413" s="163" t="s">
        <v>11</v>
      </c>
      <c r="F413" s="167">
        <f t="shared" si="17"/>
        <v>10725</v>
      </c>
      <c r="G413" s="166" t="s">
        <v>11</v>
      </c>
      <c r="H413" s="163" t="s">
        <v>11</v>
      </c>
    </row>
    <row r="414" spans="1:8" s="4" customFormat="1" ht="12.75">
      <c r="A414" s="163" t="s">
        <v>423</v>
      </c>
      <c r="B414" s="164">
        <v>5</v>
      </c>
      <c r="C414" s="165" t="s">
        <v>66</v>
      </c>
      <c r="D414" s="163">
        <v>1300</v>
      </c>
      <c r="E414" s="163" t="s">
        <v>11</v>
      </c>
      <c r="F414" s="167">
        <f t="shared" si="17"/>
        <v>6500</v>
      </c>
      <c r="G414" s="166" t="s">
        <v>11</v>
      </c>
      <c r="H414" s="163" t="s">
        <v>11</v>
      </c>
    </row>
    <row r="415" spans="1:8" s="4" customFormat="1" ht="12.75">
      <c r="A415" s="163" t="s">
        <v>225</v>
      </c>
      <c r="B415" s="164">
        <v>2</v>
      </c>
      <c r="C415" s="165" t="s">
        <v>49</v>
      </c>
      <c r="D415" s="163">
        <v>190</v>
      </c>
      <c r="E415" s="163" t="s">
        <v>11</v>
      </c>
      <c r="F415" s="167">
        <f t="shared" si="17"/>
        <v>380</v>
      </c>
      <c r="G415" s="166" t="s">
        <v>11</v>
      </c>
      <c r="H415" s="163" t="s">
        <v>11</v>
      </c>
    </row>
    <row r="416" spans="1:8" s="4" customFormat="1" ht="12.75">
      <c r="A416" s="163" t="s">
        <v>226</v>
      </c>
      <c r="B416" s="164">
        <v>3</v>
      </c>
      <c r="C416" s="165" t="s">
        <v>49</v>
      </c>
      <c r="D416" s="163">
        <v>850</v>
      </c>
      <c r="E416" s="163" t="s">
        <v>11</v>
      </c>
      <c r="F416" s="167">
        <f t="shared" si="17"/>
        <v>2550</v>
      </c>
      <c r="G416" s="166" t="s">
        <v>11</v>
      </c>
      <c r="H416" s="163" t="s">
        <v>11</v>
      </c>
    </row>
    <row r="417" spans="1:8" s="4" customFormat="1" ht="12.75">
      <c r="A417" s="163" t="s">
        <v>241</v>
      </c>
      <c r="B417" s="164">
        <v>1</v>
      </c>
      <c r="C417" s="165" t="s">
        <v>49</v>
      </c>
      <c r="D417" s="166">
        <v>4500</v>
      </c>
      <c r="E417" s="163" t="s">
        <v>11</v>
      </c>
      <c r="F417" s="167">
        <f t="shared" si="17"/>
        <v>4500</v>
      </c>
      <c r="G417" s="166" t="s">
        <v>11</v>
      </c>
      <c r="H417" s="163" t="s">
        <v>11</v>
      </c>
    </row>
    <row r="418" spans="1:8" s="4" customFormat="1" ht="12.75">
      <c r="A418" s="163" t="s">
        <v>68</v>
      </c>
      <c r="B418" s="179">
        <v>0.129411</v>
      </c>
      <c r="C418" s="165" t="s">
        <v>69</v>
      </c>
      <c r="D418" s="166">
        <v>170000</v>
      </c>
      <c r="E418" s="163" t="s">
        <v>11</v>
      </c>
      <c r="F418" s="163" t="s">
        <v>11</v>
      </c>
      <c r="G418" s="166">
        <f>B418*D418</f>
        <v>21999.87</v>
      </c>
      <c r="H418" s="163" t="s">
        <v>11</v>
      </c>
    </row>
    <row r="419" spans="1:8" s="4" customFormat="1" ht="12.75">
      <c r="A419" s="170" t="s">
        <v>70</v>
      </c>
      <c r="B419" s="171">
        <f>ROUND((SUM(E419:H419)),0)</f>
        <v>47855</v>
      </c>
      <c r="C419" s="172" t="s">
        <v>73</v>
      </c>
      <c r="D419" s="173"/>
      <c r="E419" s="169">
        <f>SUM(E412:E418)</f>
        <v>0</v>
      </c>
      <c r="F419" s="169">
        <f>SUM(F412:F418)</f>
        <v>25855</v>
      </c>
      <c r="G419" s="169">
        <f>SUM(G412:G418)</f>
        <v>21999.87</v>
      </c>
      <c r="H419" s="169">
        <f>SUM(H412:H418)</f>
        <v>0</v>
      </c>
    </row>
    <row r="420" spans="1:8" s="4" customFormat="1" ht="12.75">
      <c r="A420" s="64"/>
      <c r="B420" s="64"/>
      <c r="C420" s="65"/>
      <c r="D420" s="66"/>
      <c r="E420" s="64"/>
      <c r="F420" s="64"/>
      <c r="G420" s="64"/>
      <c r="H420" s="64"/>
    </row>
    <row r="421" spans="1:8" s="4" customFormat="1" ht="12.75">
      <c r="A421" s="158" t="s">
        <v>436</v>
      </c>
      <c r="B421" s="159"/>
      <c r="C421" s="160"/>
      <c r="D421" s="161"/>
      <c r="E421" s="159"/>
      <c r="F421" s="159"/>
      <c r="G421" s="159"/>
      <c r="H421" s="159"/>
    </row>
    <row r="422" spans="1:8" s="4" customFormat="1" ht="12.75">
      <c r="A422" s="158"/>
      <c r="B422" s="159"/>
      <c r="C422" s="160"/>
      <c r="D422" s="161"/>
      <c r="E422" s="162" t="s">
        <v>61</v>
      </c>
      <c r="F422" s="162" t="s">
        <v>62</v>
      </c>
      <c r="G422" s="162" t="s">
        <v>63</v>
      </c>
      <c r="H422" s="162" t="s">
        <v>64</v>
      </c>
    </row>
    <row r="423" spans="1:8" s="4" customFormat="1" ht="12.75">
      <c r="A423" s="163" t="s">
        <v>232</v>
      </c>
      <c r="B423" s="164">
        <v>1</v>
      </c>
      <c r="C423" s="165" t="s">
        <v>49</v>
      </c>
      <c r="D423" s="166">
        <v>1200</v>
      </c>
      <c r="E423" s="163" t="s">
        <v>11</v>
      </c>
      <c r="F423" s="167">
        <f t="shared" ref="F423:F428" si="18">B423*D423</f>
        <v>1200</v>
      </c>
      <c r="G423" s="166" t="s">
        <v>11</v>
      </c>
      <c r="H423" s="163" t="s">
        <v>11</v>
      </c>
    </row>
    <row r="424" spans="1:8" s="4" customFormat="1" ht="12.75">
      <c r="A424" s="163" t="s">
        <v>201</v>
      </c>
      <c r="B424" s="164">
        <v>18</v>
      </c>
      <c r="C424" s="165" t="s">
        <v>66</v>
      </c>
      <c r="D424" s="166">
        <v>715</v>
      </c>
      <c r="E424" s="163" t="s">
        <v>11</v>
      </c>
      <c r="F424" s="167">
        <f t="shared" si="18"/>
        <v>12870</v>
      </c>
      <c r="G424" s="166" t="s">
        <v>11</v>
      </c>
      <c r="H424" s="163" t="s">
        <v>11</v>
      </c>
    </row>
    <row r="425" spans="1:8" s="4" customFormat="1" ht="12.75">
      <c r="A425" s="163" t="s">
        <v>423</v>
      </c>
      <c r="B425" s="164">
        <v>6</v>
      </c>
      <c r="C425" s="165" t="s">
        <v>66</v>
      </c>
      <c r="D425" s="163">
        <v>1300</v>
      </c>
      <c r="E425" s="163" t="s">
        <v>11</v>
      </c>
      <c r="F425" s="167">
        <f t="shared" si="18"/>
        <v>7800</v>
      </c>
      <c r="G425" s="166" t="s">
        <v>11</v>
      </c>
      <c r="H425" s="163" t="s">
        <v>11</v>
      </c>
    </row>
    <row r="426" spans="1:8" s="4" customFormat="1" ht="12.75">
      <c r="A426" s="163" t="s">
        <v>225</v>
      </c>
      <c r="B426" s="164">
        <v>2</v>
      </c>
      <c r="C426" s="165" t="s">
        <v>49</v>
      </c>
      <c r="D426" s="163">
        <v>190</v>
      </c>
      <c r="E426" s="163" t="s">
        <v>11</v>
      </c>
      <c r="F426" s="167">
        <f t="shared" si="18"/>
        <v>380</v>
      </c>
      <c r="G426" s="166" t="s">
        <v>11</v>
      </c>
      <c r="H426" s="163" t="s">
        <v>11</v>
      </c>
    </row>
    <row r="427" spans="1:8" s="4" customFormat="1" ht="12.75">
      <c r="A427" s="163" t="s">
        <v>226</v>
      </c>
      <c r="B427" s="164">
        <v>3</v>
      </c>
      <c r="C427" s="165" t="s">
        <v>49</v>
      </c>
      <c r="D427" s="163">
        <v>850</v>
      </c>
      <c r="E427" s="163" t="s">
        <v>11</v>
      </c>
      <c r="F427" s="167">
        <f t="shared" si="18"/>
        <v>2550</v>
      </c>
      <c r="G427" s="166" t="s">
        <v>11</v>
      </c>
      <c r="H427" s="163" t="s">
        <v>11</v>
      </c>
    </row>
    <row r="428" spans="1:8" s="4" customFormat="1" ht="12.75">
      <c r="A428" s="163" t="s">
        <v>277</v>
      </c>
      <c r="B428" s="164">
        <v>1</v>
      </c>
      <c r="C428" s="165" t="s">
        <v>49</v>
      </c>
      <c r="D428" s="166">
        <v>10000</v>
      </c>
      <c r="E428" s="163" t="s">
        <v>11</v>
      </c>
      <c r="F428" s="167">
        <f t="shared" si="18"/>
        <v>10000</v>
      </c>
      <c r="G428" s="166" t="s">
        <v>11</v>
      </c>
      <c r="H428" s="163" t="s">
        <v>11</v>
      </c>
    </row>
    <row r="429" spans="1:8" s="4" customFormat="1" ht="12.75">
      <c r="A429" s="163" t="s">
        <v>68</v>
      </c>
      <c r="B429" s="179">
        <v>0.129411</v>
      </c>
      <c r="C429" s="165" t="s">
        <v>69</v>
      </c>
      <c r="D429" s="166">
        <v>170000</v>
      </c>
      <c r="E429" s="163" t="s">
        <v>11</v>
      </c>
      <c r="F429" s="163" t="s">
        <v>11</v>
      </c>
      <c r="G429" s="166">
        <f>B429*D429</f>
        <v>21999.87</v>
      </c>
      <c r="H429" s="163" t="s">
        <v>11</v>
      </c>
    </row>
    <row r="430" spans="1:8" s="4" customFormat="1" ht="12.75">
      <c r="A430" s="170" t="s">
        <v>70</v>
      </c>
      <c r="B430" s="171">
        <f>ROUND((SUM(E430:H430)),0)</f>
        <v>56800</v>
      </c>
      <c r="C430" s="172" t="s">
        <v>73</v>
      </c>
      <c r="D430" s="173"/>
      <c r="E430" s="169">
        <f>SUM(E423:E429)</f>
        <v>0</v>
      </c>
      <c r="F430" s="169">
        <f>SUM(F423:F429)</f>
        <v>34800</v>
      </c>
      <c r="G430" s="169">
        <f>SUM(G423:G429)</f>
        <v>21999.87</v>
      </c>
      <c r="H430" s="169">
        <f>SUM(H423:H429)</f>
        <v>0</v>
      </c>
    </row>
    <row r="432" spans="1:8" s="4" customFormat="1" ht="12.75">
      <c r="A432" s="158" t="s">
        <v>437</v>
      </c>
      <c r="B432" s="159"/>
      <c r="C432" s="160"/>
      <c r="D432" s="161"/>
      <c r="E432" s="159"/>
      <c r="F432" s="159"/>
      <c r="G432" s="159"/>
      <c r="H432" s="159"/>
    </row>
    <row r="433" spans="1:8" s="4" customFormat="1" ht="12.75">
      <c r="A433" s="158"/>
      <c r="B433" s="159"/>
      <c r="C433" s="160"/>
      <c r="D433" s="161"/>
      <c r="E433" s="162" t="s">
        <v>61</v>
      </c>
      <c r="F433" s="162" t="s">
        <v>62</v>
      </c>
      <c r="G433" s="162" t="s">
        <v>63</v>
      </c>
      <c r="H433" s="162" t="s">
        <v>64</v>
      </c>
    </row>
    <row r="434" spans="1:8" s="4" customFormat="1" ht="12.75">
      <c r="A434" s="163" t="s">
        <v>232</v>
      </c>
      <c r="B434" s="164">
        <v>1</v>
      </c>
      <c r="C434" s="165" t="s">
        <v>49</v>
      </c>
      <c r="D434" s="166">
        <v>1200</v>
      </c>
      <c r="E434" s="163" t="s">
        <v>11</v>
      </c>
      <c r="F434" s="167">
        <f t="shared" ref="F434:F439" si="19">B434*D434</f>
        <v>1200</v>
      </c>
      <c r="G434" s="166" t="s">
        <v>11</v>
      </c>
      <c r="H434" s="163" t="s">
        <v>11</v>
      </c>
    </row>
    <row r="435" spans="1:8" s="4" customFormat="1" ht="12.75">
      <c r="A435" s="163" t="s">
        <v>247</v>
      </c>
      <c r="B435" s="164">
        <v>15</v>
      </c>
      <c r="C435" s="165" t="s">
        <v>66</v>
      </c>
      <c r="D435" s="166">
        <v>900</v>
      </c>
      <c r="E435" s="163" t="s">
        <v>11</v>
      </c>
      <c r="F435" s="167">
        <f t="shared" si="19"/>
        <v>13500</v>
      </c>
      <c r="G435" s="166" t="s">
        <v>11</v>
      </c>
      <c r="H435" s="163" t="s">
        <v>11</v>
      </c>
    </row>
    <row r="436" spans="1:8" s="4" customFormat="1" ht="12.75">
      <c r="A436" s="163" t="s">
        <v>423</v>
      </c>
      <c r="B436" s="164">
        <v>5</v>
      </c>
      <c r="C436" s="165" t="s">
        <v>66</v>
      </c>
      <c r="D436" s="163">
        <v>1300</v>
      </c>
      <c r="E436" s="163" t="s">
        <v>11</v>
      </c>
      <c r="F436" s="167">
        <f t="shared" si="19"/>
        <v>6500</v>
      </c>
      <c r="G436" s="166" t="s">
        <v>11</v>
      </c>
      <c r="H436" s="163" t="s">
        <v>11</v>
      </c>
    </row>
    <row r="437" spans="1:8" s="4" customFormat="1" ht="12.75">
      <c r="A437" s="163" t="s">
        <v>225</v>
      </c>
      <c r="B437" s="164">
        <v>2</v>
      </c>
      <c r="C437" s="165" t="s">
        <v>49</v>
      </c>
      <c r="D437" s="163">
        <v>190</v>
      </c>
      <c r="E437" s="163" t="s">
        <v>11</v>
      </c>
      <c r="F437" s="167">
        <f t="shared" si="19"/>
        <v>380</v>
      </c>
      <c r="G437" s="166" t="s">
        <v>11</v>
      </c>
      <c r="H437" s="163" t="s">
        <v>11</v>
      </c>
    </row>
    <row r="438" spans="1:8" s="4" customFormat="1" ht="12.75">
      <c r="A438" s="163" t="s">
        <v>248</v>
      </c>
      <c r="B438" s="164">
        <v>1</v>
      </c>
      <c r="C438" s="165" t="s">
        <v>49</v>
      </c>
      <c r="D438" s="166">
        <v>4800</v>
      </c>
      <c r="E438" s="163" t="s">
        <v>11</v>
      </c>
      <c r="F438" s="167">
        <f t="shared" si="19"/>
        <v>4800</v>
      </c>
      <c r="G438" s="166" t="s">
        <v>11</v>
      </c>
      <c r="H438" s="163" t="s">
        <v>11</v>
      </c>
    </row>
    <row r="439" spans="1:8" s="4" customFormat="1" ht="12.75">
      <c r="A439" s="163" t="s">
        <v>226</v>
      </c>
      <c r="B439" s="164">
        <v>3</v>
      </c>
      <c r="C439" s="165" t="s">
        <v>49</v>
      </c>
      <c r="D439" s="163">
        <v>850</v>
      </c>
      <c r="E439" s="163" t="s">
        <v>11</v>
      </c>
      <c r="F439" s="167">
        <f t="shared" si="19"/>
        <v>2550</v>
      </c>
      <c r="G439" s="166" t="s">
        <v>11</v>
      </c>
      <c r="H439" s="163" t="s">
        <v>11</v>
      </c>
    </row>
    <row r="440" spans="1:8" s="4" customFormat="1" ht="12.75">
      <c r="A440" s="163" t="s">
        <v>68</v>
      </c>
      <c r="B440" s="179">
        <v>0.129411</v>
      </c>
      <c r="C440" s="165" t="s">
        <v>69</v>
      </c>
      <c r="D440" s="166">
        <v>170000</v>
      </c>
      <c r="E440" s="163" t="s">
        <v>11</v>
      </c>
      <c r="F440" s="163" t="s">
        <v>11</v>
      </c>
      <c r="G440" s="166">
        <f>B440*D440</f>
        <v>21999.87</v>
      </c>
      <c r="H440" s="163" t="s">
        <v>11</v>
      </c>
    </row>
    <row r="441" spans="1:8" s="4" customFormat="1" ht="12.75">
      <c r="A441" s="170" t="s">
        <v>70</v>
      </c>
      <c r="B441" s="171">
        <f>ROUND((SUM(E441:H441)),0)</f>
        <v>50930</v>
      </c>
      <c r="C441" s="172" t="s">
        <v>73</v>
      </c>
      <c r="D441" s="173"/>
      <c r="E441" s="169">
        <f>SUM(E434:E440)</f>
        <v>0</v>
      </c>
      <c r="F441" s="169">
        <f>SUM(F434:F440)</f>
        <v>28930</v>
      </c>
      <c r="G441" s="169">
        <f>SUM(G434:G440)</f>
        <v>21999.87</v>
      </c>
      <c r="H441" s="169">
        <f>SUM(H434:H440)</f>
        <v>0</v>
      </c>
    </row>
    <row r="443" spans="1:8">
      <c r="A443" s="158" t="s">
        <v>438</v>
      </c>
      <c r="B443" s="159"/>
      <c r="C443" s="160"/>
      <c r="D443" s="161"/>
      <c r="E443" s="159"/>
      <c r="F443" s="159"/>
      <c r="G443" s="159"/>
      <c r="H443" s="159"/>
    </row>
    <row r="444" spans="1:8">
      <c r="A444" s="158"/>
      <c r="B444" s="159"/>
      <c r="C444" s="160"/>
      <c r="D444" s="161"/>
      <c r="E444" s="162" t="s">
        <v>61</v>
      </c>
      <c r="F444" s="162" t="s">
        <v>62</v>
      </c>
      <c r="G444" s="162" t="s">
        <v>63</v>
      </c>
      <c r="H444" s="162" t="s">
        <v>64</v>
      </c>
    </row>
    <row r="445" spans="1:8">
      <c r="A445" s="163" t="s">
        <v>232</v>
      </c>
      <c r="B445" s="164">
        <v>1</v>
      </c>
      <c r="C445" s="165" t="s">
        <v>49</v>
      </c>
      <c r="D445" s="166">
        <v>1200</v>
      </c>
      <c r="E445" s="163" t="s">
        <v>11</v>
      </c>
      <c r="F445" s="167">
        <f t="shared" ref="F445:F450" si="20">B445*D445</f>
        <v>1200</v>
      </c>
      <c r="G445" s="166" t="s">
        <v>11</v>
      </c>
      <c r="H445" s="163" t="s">
        <v>11</v>
      </c>
    </row>
    <row r="446" spans="1:8">
      <c r="A446" s="163" t="s">
        <v>439</v>
      </c>
      <c r="B446" s="164">
        <v>15</v>
      </c>
      <c r="C446" s="165" t="s">
        <v>66</v>
      </c>
      <c r="D446" s="166">
        <v>1242</v>
      </c>
      <c r="E446" s="163" t="s">
        <v>11</v>
      </c>
      <c r="F446" s="167">
        <f t="shared" si="20"/>
        <v>18630</v>
      </c>
      <c r="G446" s="166" t="s">
        <v>11</v>
      </c>
      <c r="H446" s="163" t="s">
        <v>11</v>
      </c>
    </row>
    <row r="447" spans="1:8">
      <c r="A447" s="163" t="s">
        <v>423</v>
      </c>
      <c r="B447" s="164">
        <v>5</v>
      </c>
      <c r="C447" s="165" t="s">
        <v>66</v>
      </c>
      <c r="D447" s="163">
        <v>1300</v>
      </c>
      <c r="E447" s="163" t="s">
        <v>11</v>
      </c>
      <c r="F447" s="167">
        <f t="shared" si="20"/>
        <v>6500</v>
      </c>
      <c r="G447" s="166" t="s">
        <v>11</v>
      </c>
      <c r="H447" s="163" t="s">
        <v>11</v>
      </c>
    </row>
    <row r="448" spans="1:8">
      <c r="A448" s="163" t="s">
        <v>225</v>
      </c>
      <c r="B448" s="164">
        <v>2</v>
      </c>
      <c r="C448" s="165" t="s">
        <v>49</v>
      </c>
      <c r="D448" s="163">
        <v>190</v>
      </c>
      <c r="E448" s="163" t="s">
        <v>11</v>
      </c>
      <c r="F448" s="167">
        <f t="shared" si="20"/>
        <v>380</v>
      </c>
      <c r="G448" s="166" t="s">
        <v>11</v>
      </c>
      <c r="H448" s="163" t="s">
        <v>11</v>
      </c>
    </row>
    <row r="449" spans="1:8">
      <c r="A449" s="163" t="s">
        <v>248</v>
      </c>
      <c r="B449" s="164">
        <v>1</v>
      </c>
      <c r="C449" s="165" t="s">
        <v>49</v>
      </c>
      <c r="D449" s="166">
        <v>4800</v>
      </c>
      <c r="E449" s="163" t="s">
        <v>11</v>
      </c>
      <c r="F449" s="167">
        <f t="shared" si="20"/>
        <v>4800</v>
      </c>
      <c r="G449" s="166" t="s">
        <v>11</v>
      </c>
      <c r="H449" s="163" t="s">
        <v>11</v>
      </c>
    </row>
    <row r="450" spans="1:8">
      <c r="A450" s="163" t="s">
        <v>226</v>
      </c>
      <c r="B450" s="164">
        <v>3</v>
      </c>
      <c r="C450" s="165" t="s">
        <v>49</v>
      </c>
      <c r="D450" s="163">
        <v>850</v>
      </c>
      <c r="E450" s="163" t="s">
        <v>11</v>
      </c>
      <c r="F450" s="167">
        <f t="shared" si="20"/>
        <v>2550</v>
      </c>
      <c r="G450" s="166" t="s">
        <v>11</v>
      </c>
      <c r="H450" s="163" t="s">
        <v>11</v>
      </c>
    </row>
    <row r="451" spans="1:8">
      <c r="A451" s="163" t="s">
        <v>68</v>
      </c>
      <c r="B451" s="179">
        <v>0.129411</v>
      </c>
      <c r="C451" s="165" t="s">
        <v>69</v>
      </c>
      <c r="D451" s="166">
        <v>170000</v>
      </c>
      <c r="E451" s="163" t="s">
        <v>11</v>
      </c>
      <c r="F451" s="163" t="s">
        <v>11</v>
      </c>
      <c r="G451" s="166">
        <f>B451*D451</f>
        <v>21999.87</v>
      </c>
      <c r="H451" s="163" t="s">
        <v>11</v>
      </c>
    </row>
    <row r="452" spans="1:8">
      <c r="A452" s="170" t="s">
        <v>70</v>
      </c>
      <c r="B452" s="171">
        <f>ROUND((SUM(E452:H452)),0)</f>
        <v>56060</v>
      </c>
      <c r="C452" s="172" t="s">
        <v>73</v>
      </c>
      <c r="D452" s="173"/>
      <c r="E452" s="169">
        <f>SUM(E445:E451)</f>
        <v>0</v>
      </c>
      <c r="F452" s="169">
        <f>SUM(F445:F451)</f>
        <v>34060</v>
      </c>
      <c r="G452" s="169">
        <f>SUM(G445:G451)</f>
        <v>21999.87</v>
      </c>
      <c r="H452" s="169">
        <f>SUM(H445:H451)</f>
        <v>0</v>
      </c>
    </row>
    <row r="454" spans="1:8" s="4" customFormat="1" ht="12.75">
      <c r="A454" s="158" t="s">
        <v>440</v>
      </c>
      <c r="B454" s="159"/>
      <c r="C454" s="160"/>
      <c r="D454" s="161"/>
      <c r="E454" s="159"/>
      <c r="F454" s="159"/>
      <c r="G454" s="159"/>
      <c r="H454" s="159"/>
    </row>
    <row r="455" spans="1:8" s="4" customFormat="1" ht="12.75">
      <c r="A455" s="158"/>
      <c r="B455" s="159"/>
      <c r="C455" s="160"/>
      <c r="D455" s="161"/>
      <c r="E455" s="162" t="s">
        <v>61</v>
      </c>
      <c r="F455" s="162" t="s">
        <v>62</v>
      </c>
      <c r="G455" s="162" t="s">
        <v>63</v>
      </c>
      <c r="H455" s="162" t="s">
        <v>64</v>
      </c>
    </row>
    <row r="456" spans="1:8" s="4" customFormat="1" ht="12.75">
      <c r="A456" s="163" t="s">
        <v>232</v>
      </c>
      <c r="B456" s="164">
        <v>1</v>
      </c>
      <c r="C456" s="165" t="s">
        <v>49</v>
      </c>
      <c r="D456" s="166">
        <v>1200</v>
      </c>
      <c r="E456" s="163" t="s">
        <v>11</v>
      </c>
      <c r="F456" s="167">
        <f t="shared" ref="F456:F461" si="21">B456*D456</f>
        <v>1200</v>
      </c>
      <c r="G456" s="166" t="s">
        <v>11</v>
      </c>
      <c r="H456" s="163" t="s">
        <v>11</v>
      </c>
    </row>
    <row r="457" spans="1:8" s="4" customFormat="1" ht="12.75">
      <c r="A457" s="163" t="s">
        <v>247</v>
      </c>
      <c r="B457" s="164">
        <v>15</v>
      </c>
      <c r="C457" s="165" t="s">
        <v>66</v>
      </c>
      <c r="D457" s="166">
        <v>900</v>
      </c>
      <c r="E457" s="163" t="s">
        <v>11</v>
      </c>
      <c r="F457" s="167">
        <f t="shared" si="21"/>
        <v>13500</v>
      </c>
      <c r="G457" s="166" t="s">
        <v>11</v>
      </c>
      <c r="H457" s="163" t="s">
        <v>11</v>
      </c>
    </row>
    <row r="458" spans="1:8" s="4" customFormat="1" ht="12.75">
      <c r="A458" s="163" t="s">
        <v>423</v>
      </c>
      <c r="B458" s="164">
        <v>5</v>
      </c>
      <c r="C458" s="165" t="s">
        <v>66</v>
      </c>
      <c r="D458" s="163">
        <v>1300</v>
      </c>
      <c r="E458" s="163" t="s">
        <v>11</v>
      </c>
      <c r="F458" s="167">
        <f t="shared" si="21"/>
        <v>6500</v>
      </c>
      <c r="G458" s="166" t="s">
        <v>11</v>
      </c>
      <c r="H458" s="163" t="s">
        <v>11</v>
      </c>
    </row>
    <row r="459" spans="1:8" s="4" customFormat="1" ht="12.75">
      <c r="A459" s="163" t="s">
        <v>225</v>
      </c>
      <c r="B459" s="164">
        <v>2</v>
      </c>
      <c r="C459" s="165" t="s">
        <v>49</v>
      </c>
      <c r="D459" s="163">
        <v>190</v>
      </c>
      <c r="E459" s="163" t="s">
        <v>11</v>
      </c>
      <c r="F459" s="167">
        <f t="shared" si="21"/>
        <v>380</v>
      </c>
      <c r="G459" s="166" t="s">
        <v>11</v>
      </c>
      <c r="H459" s="163" t="s">
        <v>11</v>
      </c>
    </row>
    <row r="460" spans="1:8" s="4" customFormat="1" ht="12.75">
      <c r="A460" s="163" t="s">
        <v>250</v>
      </c>
      <c r="B460" s="164">
        <v>1</v>
      </c>
      <c r="C460" s="165" t="s">
        <v>49</v>
      </c>
      <c r="D460" s="166">
        <v>32000</v>
      </c>
      <c r="E460" s="163" t="s">
        <v>11</v>
      </c>
      <c r="F460" s="167">
        <f t="shared" si="21"/>
        <v>32000</v>
      </c>
      <c r="G460" s="166" t="s">
        <v>11</v>
      </c>
      <c r="H460" s="163" t="s">
        <v>11</v>
      </c>
    </row>
    <row r="461" spans="1:8" s="4" customFormat="1" ht="12.75">
      <c r="A461" s="163" t="s">
        <v>226</v>
      </c>
      <c r="B461" s="164">
        <v>3</v>
      </c>
      <c r="C461" s="165" t="s">
        <v>49</v>
      </c>
      <c r="D461" s="163">
        <v>850</v>
      </c>
      <c r="E461" s="163" t="s">
        <v>11</v>
      </c>
      <c r="F461" s="167">
        <f t="shared" si="21"/>
        <v>2550</v>
      </c>
      <c r="G461" s="166" t="s">
        <v>11</v>
      </c>
      <c r="H461" s="163" t="s">
        <v>11</v>
      </c>
    </row>
    <row r="462" spans="1:8" s="4" customFormat="1" ht="12.75">
      <c r="A462" s="163" t="s">
        <v>68</v>
      </c>
      <c r="B462" s="179">
        <v>0.129411</v>
      </c>
      <c r="C462" s="165" t="s">
        <v>69</v>
      </c>
      <c r="D462" s="166">
        <v>170000</v>
      </c>
      <c r="E462" s="163" t="s">
        <v>11</v>
      </c>
      <c r="F462" s="163" t="s">
        <v>11</v>
      </c>
      <c r="G462" s="166">
        <f>B462*D462</f>
        <v>21999.87</v>
      </c>
      <c r="H462" s="163" t="s">
        <v>11</v>
      </c>
    </row>
    <row r="463" spans="1:8" s="4" customFormat="1" ht="12.75">
      <c r="A463" s="170" t="s">
        <v>70</v>
      </c>
      <c r="B463" s="171">
        <f>ROUND((SUM(E463:H463)),0)</f>
        <v>78130</v>
      </c>
      <c r="C463" s="172" t="s">
        <v>73</v>
      </c>
      <c r="D463" s="173"/>
      <c r="E463" s="169">
        <f>SUM(E456:E462)</f>
        <v>0</v>
      </c>
      <c r="F463" s="169">
        <f>SUM(F456:F462)</f>
        <v>56130</v>
      </c>
      <c r="G463" s="169">
        <f>SUM(G456:G462)</f>
        <v>21999.87</v>
      </c>
      <c r="H463" s="169">
        <f>SUM(H456:H462)</f>
        <v>0</v>
      </c>
    </row>
    <row r="465" spans="1:8">
      <c r="A465" s="158" t="s">
        <v>441</v>
      </c>
      <c r="B465" s="159"/>
      <c r="C465" s="160"/>
      <c r="D465" s="161"/>
      <c r="E465" s="159"/>
      <c r="F465" s="159"/>
      <c r="G465" s="159"/>
      <c r="H465" s="159"/>
    </row>
    <row r="466" spans="1:8">
      <c r="A466" s="158"/>
      <c r="B466" s="159"/>
      <c r="C466" s="160"/>
      <c r="D466" s="161"/>
      <c r="E466" s="162" t="s">
        <v>61</v>
      </c>
      <c r="F466" s="162" t="s">
        <v>62</v>
      </c>
      <c r="G466" s="162" t="s">
        <v>63</v>
      </c>
      <c r="H466" s="162" t="s">
        <v>64</v>
      </c>
    </row>
    <row r="467" spans="1:8">
      <c r="A467" s="163" t="s">
        <v>232</v>
      </c>
      <c r="B467" s="164">
        <v>1</v>
      </c>
      <c r="C467" s="165" t="s">
        <v>49</v>
      </c>
      <c r="D467" s="166">
        <v>1200</v>
      </c>
      <c r="E467" s="163" t="s">
        <v>11</v>
      </c>
      <c r="F467" s="167">
        <f t="shared" ref="F467:F472" si="22">B467*D467</f>
        <v>1200</v>
      </c>
      <c r="G467" s="166" t="s">
        <v>11</v>
      </c>
      <c r="H467" s="163" t="s">
        <v>11</v>
      </c>
    </row>
    <row r="468" spans="1:8">
      <c r="A468" s="163" t="s">
        <v>439</v>
      </c>
      <c r="B468" s="164">
        <v>15</v>
      </c>
      <c r="C468" s="165" t="s">
        <v>66</v>
      </c>
      <c r="D468" s="166">
        <v>1242</v>
      </c>
      <c r="E468" s="163" t="s">
        <v>11</v>
      </c>
      <c r="F468" s="167">
        <f t="shared" si="22"/>
        <v>18630</v>
      </c>
      <c r="G468" s="166" t="s">
        <v>11</v>
      </c>
      <c r="H468" s="163" t="s">
        <v>11</v>
      </c>
    </row>
    <row r="469" spans="1:8">
      <c r="A469" s="163" t="s">
        <v>423</v>
      </c>
      <c r="B469" s="164">
        <v>5</v>
      </c>
      <c r="C469" s="165" t="s">
        <v>66</v>
      </c>
      <c r="D469" s="163">
        <v>1300</v>
      </c>
      <c r="E469" s="163" t="s">
        <v>11</v>
      </c>
      <c r="F469" s="167">
        <f t="shared" si="22"/>
        <v>6500</v>
      </c>
      <c r="G469" s="166" t="s">
        <v>11</v>
      </c>
      <c r="H469" s="163" t="s">
        <v>11</v>
      </c>
    </row>
    <row r="470" spans="1:8">
      <c r="A470" s="163" t="s">
        <v>225</v>
      </c>
      <c r="B470" s="164">
        <v>2</v>
      </c>
      <c r="C470" s="165" t="s">
        <v>49</v>
      </c>
      <c r="D470" s="163">
        <v>190</v>
      </c>
      <c r="E470" s="163" t="s">
        <v>11</v>
      </c>
      <c r="F470" s="167">
        <f t="shared" si="22"/>
        <v>380</v>
      </c>
      <c r="G470" s="166" t="s">
        <v>11</v>
      </c>
      <c r="H470" s="163" t="s">
        <v>11</v>
      </c>
    </row>
    <row r="471" spans="1:8">
      <c r="A471" s="163" t="s">
        <v>250</v>
      </c>
      <c r="B471" s="164">
        <v>1</v>
      </c>
      <c r="C471" s="165" t="s">
        <v>49</v>
      </c>
      <c r="D471" s="166">
        <v>32000</v>
      </c>
      <c r="E471" s="163" t="s">
        <v>11</v>
      </c>
      <c r="F471" s="167">
        <f t="shared" si="22"/>
        <v>32000</v>
      </c>
      <c r="G471" s="166" t="s">
        <v>11</v>
      </c>
      <c r="H471" s="163" t="s">
        <v>11</v>
      </c>
    </row>
    <row r="472" spans="1:8">
      <c r="A472" s="163" t="s">
        <v>226</v>
      </c>
      <c r="B472" s="164">
        <v>3</v>
      </c>
      <c r="C472" s="165" t="s">
        <v>49</v>
      </c>
      <c r="D472" s="163">
        <v>850</v>
      </c>
      <c r="E472" s="163" t="s">
        <v>11</v>
      </c>
      <c r="F472" s="167">
        <f t="shared" si="22"/>
        <v>2550</v>
      </c>
      <c r="G472" s="166" t="s">
        <v>11</v>
      </c>
      <c r="H472" s="163" t="s">
        <v>11</v>
      </c>
    </row>
    <row r="473" spans="1:8">
      <c r="A473" s="163" t="s">
        <v>68</v>
      </c>
      <c r="B473" s="179">
        <v>0.129411</v>
      </c>
      <c r="C473" s="165" t="s">
        <v>69</v>
      </c>
      <c r="D473" s="166">
        <v>170000</v>
      </c>
      <c r="E473" s="163" t="s">
        <v>11</v>
      </c>
      <c r="F473" s="163" t="s">
        <v>11</v>
      </c>
      <c r="G473" s="166">
        <f>B473*D473</f>
        <v>21999.87</v>
      </c>
      <c r="H473" s="163" t="s">
        <v>11</v>
      </c>
    </row>
    <row r="474" spans="1:8">
      <c r="A474" s="170" t="s">
        <v>70</v>
      </c>
      <c r="B474" s="171">
        <f>ROUND((SUM(E474:H474)),0)</f>
        <v>83260</v>
      </c>
      <c r="C474" s="172" t="s">
        <v>73</v>
      </c>
      <c r="D474" s="173"/>
      <c r="E474" s="169">
        <f>SUM(E467:E473)</f>
        <v>0</v>
      </c>
      <c r="F474" s="169">
        <f>SUM(F467:F473)</f>
        <v>61260</v>
      </c>
      <c r="G474" s="169">
        <f>SUM(G467:G473)</f>
        <v>21999.87</v>
      </c>
      <c r="H474" s="169">
        <f>SUM(H467:H473)</f>
        <v>0</v>
      </c>
    </row>
    <row r="477" spans="1:8" s="50" customFormat="1" ht="12.75">
      <c r="A477" s="158" t="s">
        <v>442</v>
      </c>
      <c r="B477" s="159"/>
      <c r="C477" s="160"/>
      <c r="D477" s="161"/>
      <c r="E477" s="159"/>
      <c r="F477" s="159"/>
      <c r="G477" s="159"/>
      <c r="H477" s="159"/>
    </row>
    <row r="478" spans="1:8" s="50" customFormat="1" ht="12.75">
      <c r="A478" s="158"/>
      <c r="B478" s="159"/>
      <c r="C478" s="160"/>
      <c r="D478" s="161"/>
      <c r="E478" s="162" t="s">
        <v>61</v>
      </c>
      <c r="F478" s="162" t="s">
        <v>62</v>
      </c>
      <c r="G478" s="162" t="s">
        <v>63</v>
      </c>
      <c r="H478" s="162" t="s">
        <v>64</v>
      </c>
    </row>
    <row r="479" spans="1:8" s="50" customFormat="1" ht="12.75">
      <c r="A479" s="163" t="s">
        <v>253</v>
      </c>
      <c r="B479" s="164">
        <v>1</v>
      </c>
      <c r="C479" s="165" t="s">
        <v>49</v>
      </c>
      <c r="D479" s="166">
        <v>1500</v>
      </c>
      <c r="E479" s="163" t="s">
        <v>11</v>
      </c>
      <c r="F479" s="167">
        <f>B479*D479</f>
        <v>1500</v>
      </c>
      <c r="G479" s="166" t="s">
        <v>11</v>
      </c>
      <c r="H479" s="163" t="s">
        <v>11</v>
      </c>
    </row>
    <row r="480" spans="1:8" s="50" customFormat="1" ht="12.75">
      <c r="A480" s="163" t="s">
        <v>194</v>
      </c>
      <c r="B480" s="164">
        <v>6</v>
      </c>
      <c r="C480" s="165" t="s">
        <v>66</v>
      </c>
      <c r="D480" s="163">
        <v>800</v>
      </c>
      <c r="E480" s="163" t="s">
        <v>11</v>
      </c>
      <c r="F480" s="167">
        <f>B480*D480</f>
        <v>4800</v>
      </c>
      <c r="G480" s="166" t="s">
        <v>11</v>
      </c>
      <c r="H480" s="163" t="s">
        <v>11</v>
      </c>
    </row>
    <row r="481" spans="1:8" s="50" customFormat="1" ht="12.75">
      <c r="A481" s="163" t="s">
        <v>254</v>
      </c>
      <c r="B481" s="164">
        <v>2</v>
      </c>
      <c r="C481" s="165" t="s">
        <v>49</v>
      </c>
      <c r="D481" s="163">
        <v>190</v>
      </c>
      <c r="E481" s="163" t="s">
        <v>11</v>
      </c>
      <c r="F481" s="167">
        <f>B481*D481</f>
        <v>380</v>
      </c>
      <c r="G481" s="166" t="s">
        <v>11</v>
      </c>
      <c r="H481" s="163" t="s">
        <v>11</v>
      </c>
    </row>
    <row r="482" spans="1:8" s="50" customFormat="1" ht="12.75">
      <c r="A482" s="163" t="s">
        <v>255</v>
      </c>
      <c r="B482" s="164">
        <v>1</v>
      </c>
      <c r="C482" s="165" t="s">
        <v>49</v>
      </c>
      <c r="D482" s="166">
        <v>3500</v>
      </c>
      <c r="E482" s="163" t="s">
        <v>11</v>
      </c>
      <c r="F482" s="167">
        <f>B482*D482</f>
        <v>3500</v>
      </c>
      <c r="G482" s="166" t="s">
        <v>11</v>
      </c>
      <c r="H482" s="163" t="s">
        <v>11</v>
      </c>
    </row>
    <row r="483" spans="1:8" s="50" customFormat="1" ht="12.75">
      <c r="A483" s="163" t="s">
        <v>68</v>
      </c>
      <c r="B483" s="176">
        <v>7.0599999999999996E-2</v>
      </c>
      <c r="C483" s="165" t="s">
        <v>69</v>
      </c>
      <c r="D483" s="166">
        <v>170000</v>
      </c>
      <c r="E483" s="163" t="s">
        <v>11</v>
      </c>
      <c r="F483" s="163" t="s">
        <v>11</v>
      </c>
      <c r="G483" s="166">
        <f>B483*D483</f>
        <v>12002</v>
      </c>
      <c r="H483" s="163" t="s">
        <v>11</v>
      </c>
    </row>
    <row r="484" spans="1:8" s="50" customFormat="1" ht="12.75">
      <c r="A484" s="170" t="s">
        <v>70</v>
      </c>
      <c r="B484" s="171">
        <f>ROUND((SUM(E484:H484)),0)</f>
        <v>22182</v>
      </c>
      <c r="C484" s="172" t="s">
        <v>73</v>
      </c>
      <c r="D484" s="173"/>
      <c r="E484" s="169">
        <f>SUM(E479:E483)</f>
        <v>0</v>
      </c>
      <c r="F484" s="169">
        <f>SUM(F479:F483)</f>
        <v>10180</v>
      </c>
      <c r="G484" s="169">
        <f>SUM(G479:G483)</f>
        <v>12002</v>
      </c>
      <c r="H484" s="169">
        <f>SUM(H479:H483)</f>
        <v>0</v>
      </c>
    </row>
    <row r="485" spans="1:8" s="50" customFormat="1" ht="12.75">
      <c r="A485" s="122"/>
      <c r="B485" s="123"/>
      <c r="C485" s="124"/>
      <c r="D485" s="125"/>
      <c r="E485" s="126"/>
      <c r="F485" s="126"/>
      <c r="G485" s="126"/>
      <c r="H485" s="126"/>
    </row>
    <row r="486" spans="1:8" s="50" customFormat="1" ht="12.75">
      <c r="A486" s="158" t="s">
        <v>443</v>
      </c>
      <c r="B486" s="159"/>
      <c r="C486" s="160"/>
      <c r="D486" s="161"/>
      <c r="E486" s="159"/>
      <c r="F486" s="159"/>
      <c r="G486" s="159"/>
      <c r="H486" s="159"/>
    </row>
    <row r="487" spans="1:8" s="50" customFormat="1" ht="12.75">
      <c r="A487" s="158"/>
      <c r="B487" s="159"/>
      <c r="C487" s="160"/>
      <c r="D487" s="161"/>
      <c r="E487" s="162" t="s">
        <v>61</v>
      </c>
      <c r="F487" s="162" t="s">
        <v>62</v>
      </c>
      <c r="G487" s="162" t="s">
        <v>63</v>
      </c>
      <c r="H487" s="162" t="s">
        <v>64</v>
      </c>
    </row>
    <row r="488" spans="1:8" s="50" customFormat="1" ht="12.75">
      <c r="A488" s="163" t="s">
        <v>253</v>
      </c>
      <c r="B488" s="164">
        <v>1</v>
      </c>
      <c r="C488" s="165" t="s">
        <v>49</v>
      </c>
      <c r="D488" s="166">
        <v>1500</v>
      </c>
      <c r="E488" s="163" t="s">
        <v>11</v>
      </c>
      <c r="F488" s="167">
        <f>B488*D488</f>
        <v>1500</v>
      </c>
      <c r="G488" s="166" t="s">
        <v>11</v>
      </c>
      <c r="H488" s="163" t="s">
        <v>11</v>
      </c>
    </row>
    <row r="489" spans="1:8" s="50" customFormat="1" ht="12.75">
      <c r="A489" s="163" t="s">
        <v>194</v>
      </c>
      <c r="B489" s="164">
        <v>6</v>
      </c>
      <c r="C489" s="165" t="s">
        <v>66</v>
      </c>
      <c r="D489" s="163">
        <v>800</v>
      </c>
      <c r="E489" s="163" t="s">
        <v>11</v>
      </c>
      <c r="F489" s="167">
        <f>B489*D489</f>
        <v>4800</v>
      </c>
      <c r="G489" s="166" t="s">
        <v>11</v>
      </c>
      <c r="H489" s="163" t="s">
        <v>11</v>
      </c>
    </row>
    <row r="490" spans="1:8" s="50" customFormat="1" ht="12.75">
      <c r="A490" s="163" t="s">
        <v>254</v>
      </c>
      <c r="B490" s="164">
        <v>2</v>
      </c>
      <c r="C490" s="165" t="s">
        <v>49</v>
      </c>
      <c r="D490" s="163">
        <v>190</v>
      </c>
      <c r="E490" s="163" t="s">
        <v>11</v>
      </c>
      <c r="F490" s="167">
        <f>B490*D490</f>
        <v>380</v>
      </c>
      <c r="G490" s="166" t="s">
        <v>11</v>
      </c>
      <c r="H490" s="163" t="s">
        <v>11</v>
      </c>
    </row>
    <row r="491" spans="1:8" s="50" customFormat="1" ht="12.75">
      <c r="A491" s="163" t="s">
        <v>257</v>
      </c>
      <c r="B491" s="164">
        <v>1</v>
      </c>
      <c r="C491" s="165" t="s">
        <v>49</v>
      </c>
      <c r="D491" s="166">
        <v>3500</v>
      </c>
      <c r="E491" s="163" t="s">
        <v>11</v>
      </c>
      <c r="F491" s="167">
        <f>B491*D491</f>
        <v>3500</v>
      </c>
      <c r="G491" s="166" t="s">
        <v>11</v>
      </c>
      <c r="H491" s="163" t="s">
        <v>11</v>
      </c>
    </row>
    <row r="492" spans="1:8" s="50" customFormat="1" ht="12.75">
      <c r="A492" s="163" t="s">
        <v>68</v>
      </c>
      <c r="B492" s="176">
        <v>7.0599999999999996E-2</v>
      </c>
      <c r="C492" s="165" t="s">
        <v>69</v>
      </c>
      <c r="D492" s="166">
        <v>170000</v>
      </c>
      <c r="E492" s="163" t="s">
        <v>11</v>
      </c>
      <c r="F492" s="163" t="s">
        <v>11</v>
      </c>
      <c r="G492" s="166">
        <f>B492*D492</f>
        <v>12002</v>
      </c>
      <c r="H492" s="163" t="s">
        <v>11</v>
      </c>
    </row>
    <row r="493" spans="1:8" s="50" customFormat="1" ht="12.75">
      <c r="A493" s="170" t="s">
        <v>70</v>
      </c>
      <c r="B493" s="171">
        <f>ROUND((SUM(E493:H493)),0)</f>
        <v>22182</v>
      </c>
      <c r="C493" s="172" t="s">
        <v>73</v>
      </c>
      <c r="D493" s="173"/>
      <c r="E493" s="169">
        <f>SUM(E488:E492)</f>
        <v>0</v>
      </c>
      <c r="F493" s="169">
        <f>SUM(F488:F492)</f>
        <v>10180</v>
      </c>
      <c r="G493" s="169">
        <f>SUM(G488:G492)</f>
        <v>12002</v>
      </c>
      <c r="H493" s="169">
        <f>SUM(H488:H492)</f>
        <v>0</v>
      </c>
    </row>
    <row r="495" spans="1:8">
      <c r="A495" s="158" t="s">
        <v>444</v>
      </c>
      <c r="B495" s="159"/>
      <c r="C495" s="160"/>
      <c r="D495" s="161"/>
      <c r="E495" s="159"/>
      <c r="F495" s="159"/>
      <c r="G495" s="159"/>
      <c r="H495" s="159"/>
    </row>
    <row r="496" spans="1:8">
      <c r="A496" s="158"/>
      <c r="B496" s="159"/>
      <c r="C496" s="160"/>
      <c r="D496" s="161"/>
      <c r="E496" s="162" t="s">
        <v>61</v>
      </c>
      <c r="F496" s="162" t="s">
        <v>62</v>
      </c>
      <c r="G496" s="162" t="s">
        <v>63</v>
      </c>
      <c r="H496" s="162" t="s">
        <v>64</v>
      </c>
    </row>
    <row r="497" spans="1:8">
      <c r="A497" s="195" t="s">
        <v>445</v>
      </c>
      <c r="B497" s="196">
        <v>1</v>
      </c>
      <c r="C497" s="197" t="s">
        <v>66</v>
      </c>
      <c r="D497" s="198">
        <v>30000</v>
      </c>
      <c r="E497" s="195" t="s">
        <v>11</v>
      </c>
      <c r="F497" s="199">
        <f>B497*D497</f>
        <v>30000</v>
      </c>
      <c r="G497" s="198" t="s">
        <v>11</v>
      </c>
      <c r="H497" s="195" t="s">
        <v>11</v>
      </c>
    </row>
    <row r="498" spans="1:8">
      <c r="A498" s="195" t="s">
        <v>68</v>
      </c>
      <c r="B498" s="200">
        <v>0.10589999999999999</v>
      </c>
      <c r="C498" s="197" t="s">
        <v>69</v>
      </c>
      <c r="D498" s="198">
        <v>170000</v>
      </c>
      <c r="E498" s="195" t="s">
        <v>11</v>
      </c>
      <c r="F498" s="195" t="s">
        <v>11</v>
      </c>
      <c r="G498" s="198">
        <f>B498*D498</f>
        <v>18003</v>
      </c>
      <c r="H498" s="195" t="s">
        <v>11</v>
      </c>
    </row>
    <row r="499" spans="1:8">
      <c r="A499" s="170" t="s">
        <v>70</v>
      </c>
      <c r="B499" s="201">
        <f>ROUND((SUM(E499:H499)),0)</f>
        <v>48003</v>
      </c>
      <c r="C499" s="172" t="s">
        <v>73</v>
      </c>
      <c r="D499" s="202"/>
      <c r="E499" s="169">
        <f>SUM(E497:E498)</f>
        <v>0</v>
      </c>
      <c r="F499" s="169">
        <f>SUM(F497:F498)</f>
        <v>30000</v>
      </c>
      <c r="G499" s="169">
        <f>SUM(G497:G498)</f>
        <v>18003</v>
      </c>
      <c r="H499" s="169">
        <f>SUM(H497:H498)</f>
        <v>0</v>
      </c>
    </row>
    <row r="501" spans="1:8">
      <c r="A501" s="158" t="s">
        <v>446</v>
      </c>
      <c r="B501" s="159"/>
      <c r="C501" s="160"/>
      <c r="D501" s="161"/>
      <c r="E501" s="159"/>
      <c r="F501" s="159"/>
      <c r="G501" s="159"/>
      <c r="H501" s="159"/>
    </row>
    <row r="502" spans="1:8">
      <c r="A502" s="158"/>
      <c r="B502" s="159"/>
      <c r="C502" s="160"/>
      <c r="D502" s="161"/>
      <c r="E502" s="162" t="s">
        <v>61</v>
      </c>
      <c r="F502" s="162" t="s">
        <v>62</v>
      </c>
      <c r="G502" s="162" t="s">
        <v>63</v>
      </c>
      <c r="H502" s="162" t="s">
        <v>64</v>
      </c>
    </row>
    <row r="503" spans="1:8">
      <c r="A503" s="175" t="s">
        <v>186</v>
      </c>
      <c r="B503" s="164">
        <v>1</v>
      </c>
      <c r="C503" s="165" t="s">
        <v>66</v>
      </c>
      <c r="D503" s="166">
        <v>1500</v>
      </c>
      <c r="E503" s="163" t="s">
        <v>11</v>
      </c>
      <c r="F503" s="167">
        <f>B503*D503</f>
        <v>1500</v>
      </c>
      <c r="G503" s="166" t="s">
        <v>11</v>
      </c>
      <c r="H503" s="163" t="s">
        <v>11</v>
      </c>
    </row>
    <row r="504" spans="1:8">
      <c r="A504" s="175" t="s">
        <v>126</v>
      </c>
      <c r="B504" s="164">
        <v>1</v>
      </c>
      <c r="C504" s="165" t="s">
        <v>75</v>
      </c>
      <c r="D504" s="166">
        <v>500</v>
      </c>
      <c r="E504" s="163"/>
      <c r="F504" s="167">
        <f>B504*D504</f>
        <v>500</v>
      </c>
      <c r="G504" s="166"/>
      <c r="H504" s="163"/>
    </row>
    <row r="505" spans="1:8">
      <c r="A505" s="175" t="s">
        <v>68</v>
      </c>
      <c r="B505" s="203">
        <v>1.2999999999999999E-2</v>
      </c>
      <c r="C505" s="165" t="s">
        <v>69</v>
      </c>
      <c r="D505" s="166">
        <v>170000</v>
      </c>
      <c r="E505" s="163" t="s">
        <v>11</v>
      </c>
      <c r="F505" s="163" t="s">
        <v>11</v>
      </c>
      <c r="G505" s="166">
        <f>B505*D505</f>
        <v>2210</v>
      </c>
      <c r="H505" s="163" t="s">
        <v>11</v>
      </c>
    </row>
    <row r="506" spans="1:8">
      <c r="A506" s="170" t="s">
        <v>70</v>
      </c>
      <c r="B506" s="171">
        <f>ROUND((SUM(E506:H506)),0)</f>
        <v>4210</v>
      </c>
      <c r="C506" s="172" t="s">
        <v>71</v>
      </c>
      <c r="D506" s="173"/>
      <c r="E506" s="169">
        <f>SUM(E503:E505)</f>
        <v>0</v>
      </c>
      <c r="F506" s="169">
        <f>SUM(F503:F505)</f>
        <v>2000</v>
      </c>
      <c r="G506" s="169">
        <f>SUM(G503:G505)</f>
        <v>2210</v>
      </c>
      <c r="H506" s="169">
        <f>SUM(H503:H505)</f>
        <v>0</v>
      </c>
    </row>
    <row r="508" spans="1:8" s="4" customFormat="1" ht="12.75">
      <c r="A508" s="158" t="s">
        <v>447</v>
      </c>
      <c r="B508" s="159"/>
      <c r="C508" s="160"/>
      <c r="D508" s="161"/>
      <c r="E508" s="159"/>
      <c r="F508" s="159"/>
      <c r="G508" s="159"/>
      <c r="H508" s="159"/>
    </row>
    <row r="509" spans="1:8" s="4" customFormat="1" ht="12.75">
      <c r="A509" s="158"/>
      <c r="B509" s="159"/>
      <c r="C509" s="160"/>
      <c r="D509" s="161"/>
      <c r="E509" s="162" t="s">
        <v>61</v>
      </c>
      <c r="F509" s="162" t="s">
        <v>62</v>
      </c>
      <c r="G509" s="162" t="s">
        <v>63</v>
      </c>
      <c r="H509" s="162" t="s">
        <v>64</v>
      </c>
    </row>
    <row r="510" spans="1:8" s="121" customFormat="1">
      <c r="A510" s="163" t="s">
        <v>448</v>
      </c>
      <c r="B510" s="164">
        <v>1</v>
      </c>
      <c r="C510" s="165" t="s">
        <v>8</v>
      </c>
      <c r="D510" s="166">
        <v>300000</v>
      </c>
      <c r="E510" s="163" t="s">
        <v>11</v>
      </c>
      <c r="F510" s="167">
        <f>B510*D510</f>
        <v>300000</v>
      </c>
      <c r="G510" s="166" t="s">
        <v>11</v>
      </c>
      <c r="H510" s="163" t="s">
        <v>11</v>
      </c>
    </row>
    <row r="511" spans="1:8" s="121" customFormat="1">
      <c r="A511" s="163" t="s">
        <v>449</v>
      </c>
      <c r="B511" s="164">
        <v>1</v>
      </c>
      <c r="C511" s="165" t="s">
        <v>8</v>
      </c>
      <c r="D511" s="166">
        <v>60000</v>
      </c>
      <c r="E511" s="163" t="s">
        <v>11</v>
      </c>
      <c r="F511" s="167">
        <f>B511*D511</f>
        <v>60000</v>
      </c>
      <c r="G511" s="166" t="s">
        <v>11</v>
      </c>
      <c r="H511" s="163" t="s">
        <v>11</v>
      </c>
    </row>
    <row r="512" spans="1:8" s="121" customFormat="1">
      <c r="A512" s="163" t="s">
        <v>94</v>
      </c>
      <c r="B512" s="164">
        <v>1</v>
      </c>
      <c r="C512" s="165" t="s">
        <v>8</v>
      </c>
      <c r="D512" s="166">
        <v>45760</v>
      </c>
      <c r="E512" s="163"/>
      <c r="F512" s="167">
        <f>B512*D512</f>
        <v>45760</v>
      </c>
      <c r="G512" s="166"/>
      <c r="H512" s="163"/>
    </row>
    <row r="513" spans="1:13" s="121" customFormat="1">
      <c r="A513" s="163" t="s">
        <v>81</v>
      </c>
      <c r="B513" s="164">
        <v>1</v>
      </c>
      <c r="C513" s="165" t="s">
        <v>8</v>
      </c>
      <c r="D513" s="166">
        <v>110200</v>
      </c>
      <c r="E513" s="163"/>
      <c r="F513" s="167">
        <f>B513*D513</f>
        <v>110200</v>
      </c>
      <c r="G513" s="166"/>
      <c r="H513" s="163"/>
    </row>
    <row r="514" spans="1:13" s="121" customFormat="1">
      <c r="A514" s="163" t="s">
        <v>190</v>
      </c>
      <c r="B514" s="164">
        <v>5</v>
      </c>
      <c r="C514" s="165" t="s">
        <v>66</v>
      </c>
      <c r="D514" s="166">
        <v>2100</v>
      </c>
      <c r="E514" s="163" t="s">
        <v>11</v>
      </c>
      <c r="F514" s="167">
        <f>B514*D514</f>
        <v>10500</v>
      </c>
      <c r="G514" s="166" t="s">
        <v>11</v>
      </c>
      <c r="H514" s="163" t="s">
        <v>11</v>
      </c>
      <c r="J514" s="4"/>
      <c r="K514" s="4"/>
      <c r="L514" s="4"/>
      <c r="M514" s="4"/>
    </row>
    <row r="515" spans="1:13" s="121" customFormat="1">
      <c r="A515" s="163" t="s">
        <v>68</v>
      </c>
      <c r="B515" s="174">
        <v>0.25</v>
      </c>
      <c r="C515" s="165" t="s">
        <v>69</v>
      </c>
      <c r="D515" s="166">
        <v>170000</v>
      </c>
      <c r="E515" s="163" t="s">
        <v>11</v>
      </c>
      <c r="F515" s="167"/>
      <c r="G515" s="166">
        <f>B515*D515</f>
        <v>42500</v>
      </c>
      <c r="H515" s="163" t="s">
        <v>11</v>
      </c>
    </row>
    <row r="516" spans="1:13" s="4" customFormat="1" ht="12.75">
      <c r="A516" s="170" t="s">
        <v>70</v>
      </c>
      <c r="B516" s="171">
        <f>ROUND((SUM(E516:H516)),0)</f>
        <v>568960</v>
      </c>
      <c r="C516" s="172" t="s">
        <v>73</v>
      </c>
      <c r="D516" s="173"/>
      <c r="E516" s="169">
        <f>SUM(E510:E515)</f>
        <v>0</v>
      </c>
      <c r="F516" s="169">
        <f>SUM(F510:F515)</f>
        <v>526460</v>
      </c>
      <c r="G516" s="169">
        <f>SUM(G510:G515)</f>
        <v>42500</v>
      </c>
      <c r="H516" s="169">
        <f>SUM(H510:H515)</f>
        <v>0</v>
      </c>
    </row>
    <row r="518" spans="1:13" s="204" customFormat="1" ht="12.75">
      <c r="A518" s="158" t="s">
        <v>450</v>
      </c>
      <c r="B518" s="159"/>
      <c r="C518" s="160"/>
      <c r="D518" s="161"/>
      <c r="E518" s="159"/>
      <c r="F518" s="159"/>
      <c r="G518" s="159"/>
      <c r="H518" s="159"/>
    </row>
    <row r="519" spans="1:13" s="204" customFormat="1" ht="12.75">
      <c r="A519" s="158"/>
      <c r="B519" s="159"/>
      <c r="C519" s="160"/>
      <c r="D519" s="161"/>
      <c r="E519" s="162" t="s">
        <v>61</v>
      </c>
      <c r="F519" s="162" t="s">
        <v>62</v>
      </c>
      <c r="G519" s="162" t="s">
        <v>63</v>
      </c>
      <c r="H519" s="162" t="s">
        <v>64</v>
      </c>
    </row>
    <row r="520" spans="1:13" s="204" customFormat="1" ht="12.75">
      <c r="A520" s="195" t="s">
        <v>451</v>
      </c>
      <c r="B520" s="196">
        <v>1</v>
      </c>
      <c r="C520" s="197" t="s">
        <v>66</v>
      </c>
      <c r="D520" s="198">
        <v>9500</v>
      </c>
      <c r="E520" s="195" t="s">
        <v>11</v>
      </c>
      <c r="F520" s="199">
        <f>B520*D520</f>
        <v>9500</v>
      </c>
      <c r="G520" s="198" t="s">
        <v>11</v>
      </c>
      <c r="H520" s="195" t="s">
        <v>11</v>
      </c>
    </row>
    <row r="521" spans="1:13" s="4" customFormat="1" ht="12.75">
      <c r="A521" s="175" t="s">
        <v>186</v>
      </c>
      <c r="B521" s="164">
        <v>1</v>
      </c>
      <c r="C521" s="165" t="s">
        <v>66</v>
      </c>
      <c r="D521" s="166">
        <v>1500</v>
      </c>
      <c r="E521" s="163" t="s">
        <v>11</v>
      </c>
      <c r="F521" s="167">
        <f>B521*D521</f>
        <v>1500</v>
      </c>
      <c r="G521" s="166" t="s">
        <v>11</v>
      </c>
      <c r="H521" s="163" t="s">
        <v>11</v>
      </c>
    </row>
    <row r="522" spans="1:13" s="204" customFormat="1" ht="12.75">
      <c r="A522" s="195" t="s">
        <v>68</v>
      </c>
      <c r="B522" s="205">
        <v>4.41176E-2</v>
      </c>
      <c r="C522" s="197" t="s">
        <v>69</v>
      </c>
      <c r="D522" s="198">
        <v>170000</v>
      </c>
      <c r="E522" s="195" t="s">
        <v>11</v>
      </c>
      <c r="F522" s="195" t="s">
        <v>11</v>
      </c>
      <c r="G522" s="198">
        <f>B522*D522</f>
        <v>7499.9920000000002</v>
      </c>
      <c r="H522" s="195" t="s">
        <v>11</v>
      </c>
    </row>
    <row r="523" spans="1:13" s="204" customFormat="1" ht="12.75">
      <c r="A523" s="170" t="s">
        <v>70</v>
      </c>
      <c r="B523" s="201">
        <f>ROUND((SUM(E523:H523)),0)</f>
        <v>18500</v>
      </c>
      <c r="C523" s="172" t="s">
        <v>71</v>
      </c>
      <c r="D523" s="202"/>
      <c r="E523" s="169">
        <f>SUM(E520:E522)</f>
        <v>0</v>
      </c>
      <c r="F523" s="169">
        <f>SUM(F520:F522)</f>
        <v>11000</v>
      </c>
      <c r="G523" s="169">
        <f>SUM(G520:G522)</f>
        <v>7499.9920000000002</v>
      </c>
      <c r="H523" s="169">
        <f>SUM(H520:H522)</f>
        <v>0</v>
      </c>
    </row>
    <row r="525" spans="1:13">
      <c r="A525" s="158" t="s">
        <v>452</v>
      </c>
      <c r="B525" s="159"/>
      <c r="C525" s="160"/>
      <c r="D525" s="161"/>
      <c r="E525" s="159"/>
      <c r="F525" s="159"/>
      <c r="G525" s="159"/>
      <c r="H525" s="159"/>
    </row>
    <row r="526" spans="1:13">
      <c r="A526" s="158"/>
      <c r="B526" s="159"/>
      <c r="C526" s="160"/>
      <c r="D526" s="161"/>
      <c r="E526" s="162" t="s">
        <v>61</v>
      </c>
      <c r="F526" s="162" t="s">
        <v>62</v>
      </c>
      <c r="G526" s="162" t="s">
        <v>63</v>
      </c>
      <c r="H526" s="162" t="s">
        <v>64</v>
      </c>
    </row>
    <row r="527" spans="1:13">
      <c r="A527" s="163" t="s">
        <v>99</v>
      </c>
      <c r="B527" s="164">
        <v>3</v>
      </c>
      <c r="C527" s="165" t="s">
        <v>66</v>
      </c>
      <c r="D527" s="166">
        <v>2400</v>
      </c>
      <c r="E527" s="163" t="s">
        <v>11</v>
      </c>
      <c r="F527" s="167">
        <f>B527*D527</f>
        <v>7200</v>
      </c>
      <c r="G527" s="166" t="s">
        <v>11</v>
      </c>
      <c r="H527" s="163" t="s">
        <v>11</v>
      </c>
    </row>
    <row r="528" spans="1:13">
      <c r="A528" s="163" t="s">
        <v>190</v>
      </c>
      <c r="B528" s="164">
        <v>1</v>
      </c>
      <c r="C528" s="165" t="s">
        <v>66</v>
      </c>
      <c r="D528" s="166">
        <v>1500</v>
      </c>
      <c r="E528" s="163" t="s">
        <v>11</v>
      </c>
      <c r="F528" s="167">
        <f>B528*D528</f>
        <v>1500</v>
      </c>
      <c r="G528" s="166" t="s">
        <v>11</v>
      </c>
      <c r="H528" s="163" t="s">
        <v>11</v>
      </c>
    </row>
    <row r="529" spans="1:8">
      <c r="A529" s="163" t="s">
        <v>188</v>
      </c>
      <c r="B529" s="164">
        <v>1</v>
      </c>
      <c r="C529" s="165" t="s">
        <v>66</v>
      </c>
      <c r="D529" s="166">
        <v>1200</v>
      </c>
      <c r="E529" s="163" t="s">
        <v>11</v>
      </c>
      <c r="F529" s="167">
        <f>B529*D529</f>
        <v>1200</v>
      </c>
      <c r="G529" s="166" t="s">
        <v>11</v>
      </c>
      <c r="H529" s="163" t="s">
        <v>11</v>
      </c>
    </row>
    <row r="530" spans="1:8">
      <c r="A530" s="163" t="s">
        <v>68</v>
      </c>
      <c r="B530" s="176">
        <v>3.8199999999999998E-2</v>
      </c>
      <c r="C530" s="165" t="s">
        <v>69</v>
      </c>
      <c r="D530" s="166">
        <v>170000</v>
      </c>
      <c r="E530" s="163" t="s">
        <v>11</v>
      </c>
      <c r="F530" s="167"/>
      <c r="G530" s="166">
        <f>B530*D530</f>
        <v>6494</v>
      </c>
      <c r="H530" s="163" t="s">
        <v>11</v>
      </c>
    </row>
    <row r="531" spans="1:8">
      <c r="A531" s="170" t="s">
        <v>70</v>
      </c>
      <c r="B531" s="171">
        <f>ROUND((SUM(E531:H531)),0)</f>
        <v>16394</v>
      </c>
      <c r="C531" s="172" t="s">
        <v>71</v>
      </c>
      <c r="D531" s="173"/>
      <c r="E531" s="169">
        <f>SUM(E527:E530)</f>
        <v>0</v>
      </c>
      <c r="F531" s="169">
        <f>SUM(F527:F530)</f>
        <v>9900</v>
      </c>
      <c r="G531" s="169">
        <f>SUM(G527:G530)</f>
        <v>6494</v>
      </c>
      <c r="H531" s="169">
        <f>SUM(H527:H530)</f>
        <v>0</v>
      </c>
    </row>
    <row r="533" spans="1:8" s="4" customFormat="1" ht="12.75">
      <c r="A533" s="158" t="s">
        <v>453</v>
      </c>
      <c r="B533" s="159"/>
      <c r="C533" s="160"/>
      <c r="D533" s="161"/>
      <c r="E533" s="159"/>
      <c r="F533" s="159"/>
      <c r="G533" s="159"/>
      <c r="H533" s="159"/>
    </row>
    <row r="534" spans="1:8" s="4" customFormat="1" ht="12.75">
      <c r="A534" s="158"/>
      <c r="B534" s="159"/>
      <c r="C534" s="160"/>
      <c r="D534" s="161"/>
      <c r="E534" s="162" t="s">
        <v>61</v>
      </c>
      <c r="F534" s="162" t="s">
        <v>62</v>
      </c>
      <c r="G534" s="162" t="s">
        <v>63</v>
      </c>
      <c r="H534" s="162" t="s">
        <v>64</v>
      </c>
    </row>
    <row r="535" spans="1:8" s="4" customFormat="1" ht="12.75">
      <c r="A535" s="163" t="s">
        <v>72</v>
      </c>
      <c r="B535" s="164">
        <v>1</v>
      </c>
      <c r="C535" s="165" t="s">
        <v>49</v>
      </c>
      <c r="D535" s="166">
        <v>90500</v>
      </c>
      <c r="E535" s="163" t="s">
        <v>11</v>
      </c>
      <c r="F535" s="167">
        <f>B535*D535</f>
        <v>90500</v>
      </c>
      <c r="G535" s="166" t="s">
        <v>11</v>
      </c>
      <c r="H535" s="163" t="s">
        <v>11</v>
      </c>
    </row>
    <row r="536" spans="1:8" s="4" customFormat="1" ht="12.75">
      <c r="A536" s="163" t="s">
        <v>68</v>
      </c>
      <c r="B536" s="174">
        <v>0.15</v>
      </c>
      <c r="C536" s="165" t="s">
        <v>69</v>
      </c>
      <c r="D536" s="166">
        <v>170000</v>
      </c>
      <c r="E536" s="163" t="s">
        <v>11</v>
      </c>
      <c r="F536" s="163" t="s">
        <v>11</v>
      </c>
      <c r="G536" s="166">
        <f>B536*D536</f>
        <v>25500</v>
      </c>
      <c r="H536" s="163" t="s">
        <v>11</v>
      </c>
    </row>
    <row r="537" spans="1:8" s="4" customFormat="1" ht="12.75">
      <c r="A537" s="170" t="s">
        <v>70</v>
      </c>
      <c r="B537" s="171">
        <f>ROUND((SUM(E537:H537)),0)</f>
        <v>116000</v>
      </c>
      <c r="C537" s="172" t="s">
        <v>73</v>
      </c>
      <c r="D537" s="173"/>
      <c r="E537" s="169">
        <f>SUM(E535:E536)</f>
        <v>0</v>
      </c>
      <c r="F537" s="169">
        <f>SUM(F535:F536)</f>
        <v>90500</v>
      </c>
      <c r="G537" s="169">
        <f>SUM(G535:G536)</f>
        <v>25500</v>
      </c>
      <c r="H537" s="169">
        <f>SUM(H535:H536)</f>
        <v>0</v>
      </c>
    </row>
    <row r="539" spans="1:8" s="50" customFormat="1" ht="12.75">
      <c r="A539" s="158" t="s">
        <v>454</v>
      </c>
      <c r="B539" s="159"/>
      <c r="C539" s="160"/>
      <c r="D539" s="161"/>
      <c r="E539" s="159"/>
      <c r="F539" s="159"/>
      <c r="G539" s="159"/>
      <c r="H539" s="159"/>
    </row>
    <row r="540" spans="1:8" s="50" customFormat="1" ht="12.75">
      <c r="A540" s="158"/>
      <c r="B540" s="159"/>
      <c r="C540" s="160"/>
      <c r="D540" s="161"/>
      <c r="E540" s="162" t="s">
        <v>61</v>
      </c>
      <c r="F540" s="162" t="s">
        <v>62</v>
      </c>
      <c r="G540" s="162" t="s">
        <v>63</v>
      </c>
      <c r="H540" s="162" t="s">
        <v>64</v>
      </c>
    </row>
    <row r="541" spans="1:8" s="50" customFormat="1" ht="12.75">
      <c r="A541" s="175" t="s">
        <v>455</v>
      </c>
      <c r="B541" s="164">
        <v>6</v>
      </c>
      <c r="C541" s="165" t="s">
        <v>66</v>
      </c>
      <c r="D541" s="166">
        <v>25000</v>
      </c>
      <c r="E541" s="163" t="s">
        <v>11</v>
      </c>
      <c r="F541" s="167">
        <f>B541*D541</f>
        <v>150000</v>
      </c>
      <c r="G541" s="166" t="s">
        <v>11</v>
      </c>
      <c r="H541" s="163" t="s">
        <v>11</v>
      </c>
    </row>
    <row r="542" spans="1:8" s="50" customFormat="1" ht="12.75">
      <c r="A542" s="175" t="s">
        <v>456</v>
      </c>
      <c r="B542" s="164">
        <v>1</v>
      </c>
      <c r="C542" s="165" t="s">
        <v>8</v>
      </c>
      <c r="D542" s="166">
        <v>4000</v>
      </c>
      <c r="E542" s="163" t="s">
        <v>11</v>
      </c>
      <c r="F542" s="167">
        <f>B542*D542</f>
        <v>4000</v>
      </c>
      <c r="G542" s="166" t="s">
        <v>11</v>
      </c>
      <c r="H542" s="163" t="s">
        <v>11</v>
      </c>
    </row>
    <row r="543" spans="1:8" s="50" customFormat="1" ht="12.75">
      <c r="A543" s="175" t="s">
        <v>86</v>
      </c>
      <c r="B543" s="164">
        <v>4</v>
      </c>
      <c r="C543" s="165" t="s">
        <v>66</v>
      </c>
      <c r="D543" s="166">
        <v>2800</v>
      </c>
      <c r="E543" s="163" t="s">
        <v>11</v>
      </c>
      <c r="F543" s="167">
        <f>B543*D543</f>
        <v>11200</v>
      </c>
      <c r="G543" s="166" t="s">
        <v>11</v>
      </c>
      <c r="H543" s="163" t="s">
        <v>11</v>
      </c>
    </row>
    <row r="544" spans="1:8" s="50" customFormat="1" ht="12.75">
      <c r="A544" s="175" t="s">
        <v>87</v>
      </c>
      <c r="B544" s="164">
        <v>6</v>
      </c>
      <c r="C544" s="165" t="s">
        <v>8</v>
      </c>
      <c r="D544" s="166">
        <v>700</v>
      </c>
      <c r="E544" s="163"/>
      <c r="F544" s="167">
        <f>B544*D544</f>
        <v>4200</v>
      </c>
      <c r="G544" s="166"/>
      <c r="H544" s="163"/>
    </row>
    <row r="545" spans="1:8" s="50" customFormat="1" ht="12.75">
      <c r="A545" s="175" t="s">
        <v>457</v>
      </c>
      <c r="B545" s="164">
        <v>1</v>
      </c>
      <c r="C545" s="165" t="s">
        <v>8</v>
      </c>
      <c r="D545" s="166">
        <v>2000</v>
      </c>
      <c r="E545" s="163"/>
      <c r="F545" s="167">
        <f>B545*D545</f>
        <v>2000</v>
      </c>
      <c r="G545" s="166"/>
      <c r="H545" s="163"/>
    </row>
    <row r="546" spans="1:8" s="50" customFormat="1" ht="12.75">
      <c r="A546" s="175" t="s">
        <v>68</v>
      </c>
      <c r="B546" s="176">
        <v>0.3</v>
      </c>
      <c r="C546" s="165" t="s">
        <v>69</v>
      </c>
      <c r="D546" s="166">
        <v>170000</v>
      </c>
      <c r="E546" s="163" t="s">
        <v>11</v>
      </c>
      <c r="F546" s="163" t="s">
        <v>11</v>
      </c>
      <c r="G546" s="166">
        <f>B546*D546</f>
        <v>51000</v>
      </c>
      <c r="H546" s="163" t="s">
        <v>11</v>
      </c>
    </row>
    <row r="547" spans="1:8" s="50" customFormat="1" ht="12.75">
      <c r="A547" s="170" t="s">
        <v>70</v>
      </c>
      <c r="B547" s="171">
        <f>ROUND((SUM(E547:H547)),0)</f>
        <v>222400</v>
      </c>
      <c r="C547" s="172" t="s">
        <v>73</v>
      </c>
      <c r="D547" s="173"/>
      <c r="E547" s="169">
        <f>SUM(E541:E546)</f>
        <v>0</v>
      </c>
      <c r="F547" s="169">
        <f>SUM(F541:F546)</f>
        <v>171400</v>
      </c>
      <c r="G547" s="169">
        <f>SUM(G541:G546)</f>
        <v>51000</v>
      </c>
      <c r="H547" s="169">
        <f>SUM(H541:H546)</f>
        <v>0</v>
      </c>
    </row>
    <row r="549" spans="1:8" s="4" customFormat="1" ht="12.75">
      <c r="A549" s="158" t="s">
        <v>458</v>
      </c>
      <c r="B549" s="159"/>
      <c r="C549" s="160"/>
      <c r="D549" s="161"/>
      <c r="E549" s="159"/>
      <c r="F549" s="159"/>
      <c r="G549" s="159"/>
      <c r="H549" s="159"/>
    </row>
    <row r="550" spans="1:8" s="4" customFormat="1" ht="12.75">
      <c r="A550" s="158"/>
      <c r="B550" s="159"/>
      <c r="C550" s="160"/>
      <c r="D550" s="161"/>
      <c r="E550" s="162" t="s">
        <v>61</v>
      </c>
      <c r="F550" s="162" t="s">
        <v>62</v>
      </c>
      <c r="G550" s="162" t="s">
        <v>63</v>
      </c>
      <c r="H550" s="162" t="s">
        <v>64</v>
      </c>
    </row>
    <row r="551" spans="1:8" s="4" customFormat="1" ht="12.75">
      <c r="A551" s="163" t="s">
        <v>47</v>
      </c>
      <c r="B551" s="164">
        <v>1</v>
      </c>
      <c r="C551" s="165" t="s">
        <v>49</v>
      </c>
      <c r="D551" s="166">
        <v>15000</v>
      </c>
      <c r="E551" s="163" t="s">
        <v>11</v>
      </c>
      <c r="F551" s="167">
        <f>B551*D551</f>
        <v>15000</v>
      </c>
      <c r="G551" s="166" t="s">
        <v>11</v>
      </c>
      <c r="H551" s="163" t="s">
        <v>11</v>
      </c>
    </row>
    <row r="552" spans="1:8" s="4" customFormat="1" ht="12.75">
      <c r="A552" s="163" t="s">
        <v>68</v>
      </c>
      <c r="B552" s="179">
        <v>8.8230000000000003E-2</v>
      </c>
      <c r="C552" s="165" t="s">
        <v>69</v>
      </c>
      <c r="D552" s="166">
        <v>170000</v>
      </c>
      <c r="E552" s="163" t="s">
        <v>11</v>
      </c>
      <c r="F552" s="163" t="s">
        <v>11</v>
      </c>
      <c r="G552" s="166">
        <f>B552*D552</f>
        <v>14999.1</v>
      </c>
      <c r="H552" s="163" t="s">
        <v>11</v>
      </c>
    </row>
    <row r="553" spans="1:8" s="4" customFormat="1" ht="12.75">
      <c r="A553" s="170" t="s">
        <v>70</v>
      </c>
      <c r="B553" s="171">
        <f>ROUND((SUM(E553:H553)),0)</f>
        <v>29999</v>
      </c>
      <c r="C553" s="172" t="s">
        <v>73</v>
      </c>
      <c r="D553" s="173"/>
      <c r="E553" s="169">
        <f>SUM(E551:E552)</f>
        <v>0</v>
      </c>
      <c r="F553" s="169">
        <f>SUM(F551:F552)</f>
        <v>15000</v>
      </c>
      <c r="G553" s="169">
        <f>SUM(G551:G552)</f>
        <v>14999.1</v>
      </c>
      <c r="H553" s="169">
        <f>SUM(H551:H552)</f>
        <v>0</v>
      </c>
    </row>
    <row r="555" spans="1:8">
      <c r="A555" s="158" t="s">
        <v>459</v>
      </c>
      <c r="B555" s="159"/>
      <c r="C555" s="160"/>
      <c r="D555" s="161"/>
      <c r="E555" s="159"/>
      <c r="F555" s="159"/>
      <c r="G555" s="159"/>
      <c r="H555" s="159"/>
    </row>
    <row r="556" spans="1:8">
      <c r="A556" s="158"/>
      <c r="B556" s="159"/>
      <c r="C556" s="160"/>
      <c r="D556" s="161"/>
      <c r="E556" s="162" t="s">
        <v>61</v>
      </c>
      <c r="F556" s="162" t="s">
        <v>62</v>
      </c>
      <c r="G556" s="162" t="s">
        <v>63</v>
      </c>
      <c r="H556" s="162" t="s">
        <v>64</v>
      </c>
    </row>
    <row r="557" spans="1:8">
      <c r="A557" s="163" t="s">
        <v>253</v>
      </c>
      <c r="B557" s="164">
        <v>1</v>
      </c>
      <c r="C557" s="165" t="s">
        <v>49</v>
      </c>
      <c r="D557" s="166">
        <v>1500</v>
      </c>
      <c r="E557" s="163" t="s">
        <v>11</v>
      </c>
      <c r="F557" s="167">
        <f t="shared" ref="F557:F562" si="23">B557*D557</f>
        <v>1500</v>
      </c>
      <c r="G557" s="166" t="s">
        <v>11</v>
      </c>
      <c r="H557" s="163" t="s">
        <v>11</v>
      </c>
    </row>
    <row r="558" spans="1:8">
      <c r="A558" s="163" t="s">
        <v>247</v>
      </c>
      <c r="B558" s="164">
        <v>30</v>
      </c>
      <c r="C558" s="165" t="s">
        <v>66</v>
      </c>
      <c r="D558" s="166">
        <v>900</v>
      </c>
      <c r="E558" s="163" t="s">
        <v>11</v>
      </c>
      <c r="F558" s="167">
        <f t="shared" si="23"/>
        <v>27000</v>
      </c>
      <c r="G558" s="166" t="s">
        <v>11</v>
      </c>
      <c r="H558" s="163" t="s">
        <v>11</v>
      </c>
    </row>
    <row r="559" spans="1:8">
      <c r="A559" s="163" t="s">
        <v>197</v>
      </c>
      <c r="B559" s="164">
        <v>10</v>
      </c>
      <c r="C559" s="165" t="s">
        <v>66</v>
      </c>
      <c r="D559" s="163">
        <v>700</v>
      </c>
      <c r="E559" s="163" t="s">
        <v>11</v>
      </c>
      <c r="F559" s="167">
        <f t="shared" si="23"/>
        <v>7000</v>
      </c>
      <c r="G559" s="166" t="s">
        <v>11</v>
      </c>
      <c r="H559" s="163" t="s">
        <v>11</v>
      </c>
    </row>
    <row r="560" spans="1:8">
      <c r="A560" s="163" t="s">
        <v>225</v>
      </c>
      <c r="B560" s="164">
        <v>2</v>
      </c>
      <c r="C560" s="165" t="s">
        <v>49</v>
      </c>
      <c r="D560" s="163">
        <v>190</v>
      </c>
      <c r="E560" s="163" t="s">
        <v>11</v>
      </c>
      <c r="F560" s="167">
        <f t="shared" si="23"/>
        <v>380</v>
      </c>
      <c r="G560" s="166" t="s">
        <v>11</v>
      </c>
      <c r="H560" s="163" t="s">
        <v>11</v>
      </c>
    </row>
    <row r="561" spans="1:8">
      <c r="A561" s="163" t="s">
        <v>460</v>
      </c>
      <c r="B561" s="164">
        <v>1</v>
      </c>
      <c r="C561" s="165" t="s">
        <v>49</v>
      </c>
      <c r="D561" s="166">
        <v>12000</v>
      </c>
      <c r="E561" s="163" t="s">
        <v>11</v>
      </c>
      <c r="F561" s="167">
        <f t="shared" si="23"/>
        <v>12000</v>
      </c>
      <c r="G561" s="166" t="s">
        <v>11</v>
      </c>
      <c r="H561" s="163" t="s">
        <v>11</v>
      </c>
    </row>
    <row r="562" spans="1:8">
      <c r="A562" s="163" t="s">
        <v>226</v>
      </c>
      <c r="B562" s="164">
        <v>3</v>
      </c>
      <c r="C562" s="165" t="s">
        <v>49</v>
      </c>
      <c r="D562" s="163">
        <v>850</v>
      </c>
      <c r="E562" s="163" t="s">
        <v>11</v>
      </c>
      <c r="F562" s="167">
        <f t="shared" si="23"/>
        <v>2550</v>
      </c>
      <c r="G562" s="166" t="s">
        <v>11</v>
      </c>
      <c r="H562" s="163" t="s">
        <v>11</v>
      </c>
    </row>
    <row r="563" spans="1:8">
      <c r="A563" s="163" t="s">
        <v>68</v>
      </c>
      <c r="B563" s="179">
        <v>0.129411</v>
      </c>
      <c r="C563" s="165" t="s">
        <v>69</v>
      </c>
      <c r="D563" s="166">
        <v>170000</v>
      </c>
      <c r="E563" s="163" t="s">
        <v>11</v>
      </c>
      <c r="F563" s="163" t="s">
        <v>11</v>
      </c>
      <c r="G563" s="166">
        <f>B563*D563</f>
        <v>21999.87</v>
      </c>
      <c r="H563" s="163" t="s">
        <v>11</v>
      </c>
    </row>
    <row r="564" spans="1:8">
      <c r="A564" s="170" t="s">
        <v>70</v>
      </c>
      <c r="B564" s="171">
        <f>ROUND((SUM(E564:H564)),0)</f>
        <v>72430</v>
      </c>
      <c r="C564" s="172" t="s">
        <v>73</v>
      </c>
      <c r="D564" s="173"/>
      <c r="E564" s="169">
        <f>SUM(E557:E563)</f>
        <v>0</v>
      </c>
      <c r="F564" s="169">
        <f>SUM(F557:F563)</f>
        <v>50430</v>
      </c>
      <c r="G564" s="169">
        <f>SUM(G557:G563)</f>
        <v>21999.87</v>
      </c>
      <c r="H564" s="169">
        <f>SUM(H557:H563)</f>
        <v>0</v>
      </c>
    </row>
    <row r="567" spans="1:8" s="4" customFormat="1" ht="12.75">
      <c r="A567" s="63" t="s">
        <v>461</v>
      </c>
      <c r="B567" s="64"/>
      <c r="C567" s="65"/>
      <c r="D567" s="66"/>
      <c r="E567" s="64"/>
      <c r="F567" s="64"/>
      <c r="G567" s="64"/>
      <c r="H567" s="64"/>
    </row>
    <row r="568" spans="1:8" s="4" customFormat="1" ht="12.75">
      <c r="A568" s="63"/>
      <c r="B568" s="64"/>
      <c r="C568" s="65"/>
      <c r="D568" s="66"/>
      <c r="E568" s="68" t="s">
        <v>61</v>
      </c>
      <c r="F568" s="68" t="s">
        <v>62</v>
      </c>
      <c r="G568" s="68" t="s">
        <v>63</v>
      </c>
      <c r="H568" s="68" t="s">
        <v>64</v>
      </c>
    </row>
    <row r="569" spans="1:8" s="4" customFormat="1" ht="12.75">
      <c r="A569" s="29" t="s">
        <v>232</v>
      </c>
      <c r="B569" s="82">
        <v>1</v>
      </c>
      <c r="C569" s="30" t="s">
        <v>49</v>
      </c>
      <c r="D569" s="9">
        <v>1200</v>
      </c>
      <c r="E569" s="29" t="s">
        <v>11</v>
      </c>
      <c r="F569" s="83">
        <f t="shared" ref="F569:F574" si="24">B569*D569</f>
        <v>1200</v>
      </c>
      <c r="G569" s="9" t="s">
        <v>11</v>
      </c>
      <c r="H569" s="29" t="s">
        <v>11</v>
      </c>
    </row>
    <row r="570" spans="1:8" s="4" customFormat="1" ht="12.75">
      <c r="A570" s="29" t="s">
        <v>201</v>
      </c>
      <c r="B570" s="82">
        <v>20</v>
      </c>
      <c r="C570" s="30" t="s">
        <v>66</v>
      </c>
      <c r="D570" s="9">
        <v>715</v>
      </c>
      <c r="E570" s="29" t="s">
        <v>11</v>
      </c>
      <c r="F570" s="83">
        <f t="shared" si="24"/>
        <v>14300</v>
      </c>
      <c r="G570" s="9" t="s">
        <v>11</v>
      </c>
      <c r="H570" s="29" t="s">
        <v>11</v>
      </c>
    </row>
    <row r="571" spans="1:8" s="4" customFormat="1" ht="12.75">
      <c r="A571" s="29" t="s">
        <v>197</v>
      </c>
      <c r="B571" s="82">
        <v>5</v>
      </c>
      <c r="C571" s="30" t="s">
        <v>66</v>
      </c>
      <c r="D571" s="29">
        <v>700</v>
      </c>
      <c r="E571" s="29" t="s">
        <v>11</v>
      </c>
      <c r="F571" s="83">
        <f t="shared" si="24"/>
        <v>3500</v>
      </c>
      <c r="G571" s="9" t="s">
        <v>11</v>
      </c>
      <c r="H571" s="29" t="s">
        <v>11</v>
      </c>
    </row>
    <row r="572" spans="1:8" s="4" customFormat="1" ht="12.75">
      <c r="A572" s="29" t="s">
        <v>225</v>
      </c>
      <c r="B572" s="82">
        <v>2</v>
      </c>
      <c r="C572" s="30" t="s">
        <v>49</v>
      </c>
      <c r="D572" s="29">
        <v>190</v>
      </c>
      <c r="E572" s="29" t="s">
        <v>11</v>
      </c>
      <c r="F572" s="83">
        <f t="shared" si="24"/>
        <v>380</v>
      </c>
      <c r="G572" s="9" t="s">
        <v>11</v>
      </c>
      <c r="H572" s="29" t="s">
        <v>11</v>
      </c>
    </row>
    <row r="573" spans="1:8" s="4" customFormat="1" ht="12.75">
      <c r="A573" s="29" t="s">
        <v>226</v>
      </c>
      <c r="B573" s="82">
        <v>3</v>
      </c>
      <c r="C573" s="30" t="s">
        <v>49</v>
      </c>
      <c r="D573" s="29">
        <v>850</v>
      </c>
      <c r="E573" s="29" t="s">
        <v>11</v>
      </c>
      <c r="F573" s="83">
        <f t="shared" si="24"/>
        <v>2550</v>
      </c>
      <c r="G573" s="9" t="s">
        <v>11</v>
      </c>
      <c r="H573" s="29" t="s">
        <v>11</v>
      </c>
    </row>
    <row r="574" spans="1:8" s="4" customFormat="1" ht="12.75">
      <c r="A574" s="29" t="s">
        <v>235</v>
      </c>
      <c r="B574" s="82">
        <v>1</v>
      </c>
      <c r="C574" s="30" t="s">
        <v>49</v>
      </c>
      <c r="D574" s="9">
        <v>5700</v>
      </c>
      <c r="E574" s="29" t="s">
        <v>11</v>
      </c>
      <c r="F574" s="83">
        <f t="shared" si="24"/>
        <v>5700</v>
      </c>
      <c r="G574" s="9" t="s">
        <v>11</v>
      </c>
      <c r="H574" s="29" t="s">
        <v>11</v>
      </c>
    </row>
    <row r="575" spans="1:8" s="4" customFormat="1" ht="12.75">
      <c r="A575" s="29" t="s">
        <v>68</v>
      </c>
      <c r="B575" s="87">
        <v>0.129411</v>
      </c>
      <c r="C575" s="30" t="s">
        <v>69</v>
      </c>
      <c r="D575" s="9">
        <v>170000</v>
      </c>
      <c r="E575" s="29" t="s">
        <v>11</v>
      </c>
      <c r="F575" s="29" t="s">
        <v>11</v>
      </c>
      <c r="G575" s="9">
        <f>B575*D575</f>
        <v>21999.87</v>
      </c>
      <c r="H575" s="29" t="s">
        <v>11</v>
      </c>
    </row>
    <row r="576" spans="1:8" s="4" customFormat="1" ht="12.75">
      <c r="A576" s="76" t="s">
        <v>70</v>
      </c>
      <c r="B576" s="85">
        <f>ROUND((SUM(E576:H576)),0)</f>
        <v>49630</v>
      </c>
      <c r="C576" s="78" t="s">
        <v>73</v>
      </c>
      <c r="D576" s="86"/>
      <c r="E576" s="80">
        <f>SUM(E569:E575)</f>
        <v>0</v>
      </c>
      <c r="F576" s="80">
        <f>SUM(F569:F575)</f>
        <v>27630</v>
      </c>
      <c r="G576" s="80">
        <f>SUM(G569:G575)</f>
        <v>21999.87</v>
      </c>
      <c r="H576" s="80">
        <f>SUM(H569:H575)</f>
        <v>0</v>
      </c>
    </row>
    <row r="585" spans="1:8" s="4" customFormat="1" ht="12.75">
      <c r="A585" s="63" t="s">
        <v>462</v>
      </c>
      <c r="B585" s="64"/>
      <c r="C585" s="65"/>
      <c r="D585" s="66"/>
      <c r="E585" s="64"/>
      <c r="F585" s="64"/>
      <c r="G585" s="64"/>
      <c r="H585" s="64"/>
    </row>
    <row r="586" spans="1:8" s="4" customFormat="1" ht="12.75">
      <c r="A586" s="63"/>
      <c r="B586" s="64"/>
      <c r="C586" s="65"/>
      <c r="D586" s="66"/>
      <c r="E586" s="68" t="s">
        <v>61</v>
      </c>
      <c r="F586" s="68" t="s">
        <v>62</v>
      </c>
      <c r="G586" s="68" t="s">
        <v>63</v>
      </c>
      <c r="H586" s="68" t="s">
        <v>64</v>
      </c>
    </row>
    <row r="587" spans="1:8" s="4" customFormat="1" ht="12.75">
      <c r="A587" s="29" t="s">
        <v>462</v>
      </c>
      <c r="B587" s="82">
        <v>1</v>
      </c>
      <c r="C587" s="30" t="s">
        <v>49</v>
      </c>
      <c r="D587" s="9">
        <v>45000</v>
      </c>
      <c r="E587" s="29" t="s">
        <v>11</v>
      </c>
      <c r="F587" s="83">
        <f>B587*D587</f>
        <v>45000</v>
      </c>
      <c r="G587" s="9" t="s">
        <v>11</v>
      </c>
      <c r="H587" s="29" t="s">
        <v>11</v>
      </c>
    </row>
    <row r="588" spans="1:8" s="4" customFormat="1" ht="12.75">
      <c r="A588" s="29" t="s">
        <v>68</v>
      </c>
      <c r="B588" s="87">
        <v>0.11774999999999999</v>
      </c>
      <c r="C588" s="30" t="s">
        <v>69</v>
      </c>
      <c r="D588" s="9">
        <v>170000</v>
      </c>
      <c r="E588" s="29" t="s">
        <v>11</v>
      </c>
      <c r="F588" s="29" t="s">
        <v>11</v>
      </c>
      <c r="G588" s="9">
        <f>B588*D588</f>
        <v>20017.5</v>
      </c>
      <c r="H588" s="29" t="s">
        <v>11</v>
      </c>
    </row>
    <row r="589" spans="1:8" s="4" customFormat="1" ht="12.75">
      <c r="A589" s="76" t="s">
        <v>70</v>
      </c>
      <c r="B589" s="85">
        <f>ROUND((SUM(E589:H589)),0)</f>
        <v>65018</v>
      </c>
      <c r="C589" s="78" t="s">
        <v>73</v>
      </c>
      <c r="D589" s="86"/>
      <c r="E589" s="80">
        <f>SUM(E587:E588)</f>
        <v>0</v>
      </c>
      <c r="F589" s="80">
        <f>SUM(F587:F588)</f>
        <v>45000</v>
      </c>
      <c r="G589" s="80">
        <f>SUM(G587:G588)</f>
        <v>20017.5</v>
      </c>
      <c r="H589" s="80">
        <f>SUM(H587:H588)</f>
        <v>0</v>
      </c>
    </row>
    <row r="597" spans="1:8" s="4" customFormat="1" ht="12.75">
      <c r="A597" s="63" t="s">
        <v>463</v>
      </c>
      <c r="B597" s="64"/>
      <c r="C597" s="65"/>
      <c r="D597" s="66"/>
      <c r="E597" s="64"/>
      <c r="F597" s="64"/>
      <c r="G597" s="64"/>
      <c r="H597" s="64"/>
    </row>
    <row r="598" spans="1:8" s="4" customFormat="1" ht="12.75">
      <c r="A598" s="63"/>
      <c r="B598" s="64"/>
      <c r="C598" s="65"/>
      <c r="D598" s="66"/>
      <c r="E598" s="68" t="s">
        <v>61</v>
      </c>
      <c r="F598" s="68" t="s">
        <v>62</v>
      </c>
      <c r="G598" s="68" t="s">
        <v>63</v>
      </c>
      <c r="H598" s="68" t="s">
        <v>64</v>
      </c>
    </row>
    <row r="599" spans="1:8" s="4" customFormat="1" ht="12.75">
      <c r="A599" s="29" t="s">
        <v>463</v>
      </c>
      <c r="B599" s="82">
        <v>1</v>
      </c>
      <c r="C599" s="30" t="s">
        <v>49</v>
      </c>
      <c r="D599" s="9">
        <v>27000</v>
      </c>
      <c r="E599" s="29" t="s">
        <v>11</v>
      </c>
      <c r="F599" s="83">
        <f>B599*D599</f>
        <v>27000</v>
      </c>
      <c r="G599" s="9" t="s">
        <v>11</v>
      </c>
      <c r="H599" s="29" t="s">
        <v>11</v>
      </c>
    </row>
    <row r="600" spans="1:8" s="4" customFormat="1" ht="12.75">
      <c r="A600" s="29" t="s">
        <v>68</v>
      </c>
      <c r="B600" s="87">
        <v>0.11774999999999999</v>
      </c>
      <c r="C600" s="30" t="s">
        <v>69</v>
      </c>
      <c r="D600" s="9">
        <v>170000</v>
      </c>
      <c r="E600" s="29" t="s">
        <v>11</v>
      </c>
      <c r="F600" s="29" t="s">
        <v>11</v>
      </c>
      <c r="G600" s="9">
        <f>B600*D600</f>
        <v>20017.5</v>
      </c>
      <c r="H600" s="29" t="s">
        <v>11</v>
      </c>
    </row>
    <row r="601" spans="1:8" s="4" customFormat="1" ht="12.75">
      <c r="A601" s="76" t="s">
        <v>70</v>
      </c>
      <c r="B601" s="85">
        <f>ROUND((SUM(E601:H601)),0)</f>
        <v>47018</v>
      </c>
      <c r="C601" s="78" t="s">
        <v>73</v>
      </c>
      <c r="D601" s="86"/>
      <c r="E601" s="80">
        <f>SUM(E599:E600)</f>
        <v>0</v>
      </c>
      <c r="F601" s="80">
        <f>SUM(F599:F600)</f>
        <v>27000</v>
      </c>
      <c r="G601" s="80">
        <f>SUM(G599:G600)</f>
        <v>20017.5</v>
      </c>
      <c r="H601" s="80">
        <f>SUM(H599:H600)</f>
        <v>0</v>
      </c>
    </row>
    <row r="681" spans="1:8" s="4" customFormat="1" ht="12.75">
      <c r="A681" s="63" t="s">
        <v>464</v>
      </c>
      <c r="B681" s="64"/>
      <c r="C681" s="65"/>
      <c r="D681" s="66"/>
      <c r="E681" s="64"/>
      <c r="F681" s="64"/>
      <c r="G681" s="64"/>
      <c r="H681" s="64"/>
    </row>
    <row r="682" spans="1:8" s="4" customFormat="1" ht="12.75">
      <c r="A682" s="63"/>
      <c r="B682" s="64"/>
      <c r="C682" s="65"/>
      <c r="D682" s="66"/>
      <c r="E682" s="68" t="s">
        <v>61</v>
      </c>
      <c r="F682" s="68" t="s">
        <v>62</v>
      </c>
      <c r="G682" s="68" t="s">
        <v>63</v>
      </c>
      <c r="H682" s="68" t="s">
        <v>64</v>
      </c>
    </row>
    <row r="683" spans="1:8" s="4" customFormat="1" ht="12.75">
      <c r="A683" s="29" t="s">
        <v>232</v>
      </c>
      <c r="B683" s="82">
        <v>1</v>
      </c>
      <c r="C683" s="30" t="s">
        <v>49</v>
      </c>
      <c r="D683" s="9">
        <v>1200</v>
      </c>
      <c r="E683" s="29" t="s">
        <v>11</v>
      </c>
      <c r="F683" s="83">
        <f t="shared" ref="F683:F688" si="25">B683*D683</f>
        <v>1200</v>
      </c>
      <c r="G683" s="9" t="s">
        <v>11</v>
      </c>
      <c r="H683" s="29" t="s">
        <v>11</v>
      </c>
    </row>
    <row r="684" spans="1:8" s="4" customFormat="1" ht="12.75">
      <c r="A684" s="29" t="s">
        <v>201</v>
      </c>
      <c r="B684" s="82">
        <v>15</v>
      </c>
      <c r="C684" s="30" t="s">
        <v>66</v>
      </c>
      <c r="D684" s="9">
        <v>715</v>
      </c>
      <c r="E684" s="29" t="s">
        <v>11</v>
      </c>
      <c r="F684" s="83">
        <f t="shared" si="25"/>
        <v>10725</v>
      </c>
      <c r="G684" s="9" t="s">
        <v>11</v>
      </c>
      <c r="H684" s="29" t="s">
        <v>11</v>
      </c>
    </row>
    <row r="685" spans="1:8" s="4" customFormat="1" ht="12.75">
      <c r="A685" s="29" t="s">
        <v>197</v>
      </c>
      <c r="B685" s="82">
        <v>5</v>
      </c>
      <c r="C685" s="30" t="s">
        <v>66</v>
      </c>
      <c r="D685" s="29">
        <v>700</v>
      </c>
      <c r="E685" s="29" t="s">
        <v>11</v>
      </c>
      <c r="F685" s="83">
        <f t="shared" si="25"/>
        <v>3500</v>
      </c>
      <c r="G685" s="9" t="s">
        <v>11</v>
      </c>
      <c r="H685" s="29" t="s">
        <v>11</v>
      </c>
    </row>
    <row r="686" spans="1:8" s="4" customFormat="1" ht="12.75">
      <c r="A686" s="29" t="s">
        <v>225</v>
      </c>
      <c r="B686" s="82">
        <v>2</v>
      </c>
      <c r="C686" s="30" t="s">
        <v>49</v>
      </c>
      <c r="D686" s="29">
        <v>190</v>
      </c>
      <c r="E686" s="29" t="s">
        <v>11</v>
      </c>
      <c r="F686" s="83">
        <f t="shared" si="25"/>
        <v>380</v>
      </c>
      <c r="G686" s="9" t="s">
        <v>11</v>
      </c>
      <c r="H686" s="29" t="s">
        <v>11</v>
      </c>
    </row>
    <row r="687" spans="1:8" s="4" customFormat="1" ht="12.75">
      <c r="A687" s="29" t="s">
        <v>226</v>
      </c>
      <c r="B687" s="82">
        <v>3</v>
      </c>
      <c r="C687" s="30" t="s">
        <v>49</v>
      </c>
      <c r="D687" s="29">
        <v>850</v>
      </c>
      <c r="E687" s="29" t="s">
        <v>11</v>
      </c>
      <c r="F687" s="83">
        <f t="shared" si="25"/>
        <v>2550</v>
      </c>
      <c r="G687" s="9" t="s">
        <v>11</v>
      </c>
      <c r="H687" s="29" t="s">
        <v>11</v>
      </c>
    </row>
    <row r="688" spans="1:8" s="4" customFormat="1" ht="12.75">
      <c r="A688" s="29" t="s">
        <v>243</v>
      </c>
      <c r="B688" s="82">
        <v>1</v>
      </c>
      <c r="C688" s="30" t="s">
        <v>49</v>
      </c>
      <c r="D688" s="9">
        <v>25000</v>
      </c>
      <c r="E688" s="29" t="s">
        <v>11</v>
      </c>
      <c r="F688" s="83">
        <f t="shared" si="25"/>
        <v>25000</v>
      </c>
      <c r="G688" s="9" t="s">
        <v>11</v>
      </c>
      <c r="H688" s="29" t="s">
        <v>11</v>
      </c>
    </row>
    <row r="689" spans="1:8" s="4" customFormat="1" ht="12.75">
      <c r="A689" s="29" t="s">
        <v>68</v>
      </c>
      <c r="B689" s="87">
        <v>0.129411</v>
      </c>
      <c r="C689" s="30" t="s">
        <v>69</v>
      </c>
      <c r="D689" s="9">
        <v>170000</v>
      </c>
      <c r="E689" s="29" t="s">
        <v>11</v>
      </c>
      <c r="F689" s="29" t="s">
        <v>11</v>
      </c>
      <c r="G689" s="9">
        <f>B689*D689</f>
        <v>21999.87</v>
      </c>
      <c r="H689" s="29" t="s">
        <v>11</v>
      </c>
    </row>
    <row r="690" spans="1:8" s="4" customFormat="1" ht="12.75">
      <c r="A690" s="76" t="s">
        <v>70</v>
      </c>
      <c r="B690" s="85">
        <f>ROUND((SUM(E690:H690)),0)</f>
        <v>65355</v>
      </c>
      <c r="C690" s="78" t="s">
        <v>73</v>
      </c>
      <c r="D690" s="86"/>
      <c r="E690" s="80">
        <f>SUM(E683:E689)</f>
        <v>0</v>
      </c>
      <c r="F690" s="80">
        <f>SUM(F683:F689)</f>
        <v>43355</v>
      </c>
      <c r="G690" s="80">
        <f>SUM(G683:G689)</f>
        <v>21999.87</v>
      </c>
      <c r="H690" s="80">
        <f>SUM(H683:H689)</f>
        <v>0</v>
      </c>
    </row>
    <row r="714" s="4" customFormat="1" ht="12.75"/>
    <row r="715" s="4" customFormat="1" ht="12.75"/>
    <row r="716" s="4" customFormat="1" ht="12.75"/>
    <row r="717" s="4" customFormat="1" ht="12.75"/>
    <row r="718" s="4" customFormat="1" ht="12.75"/>
    <row r="719" s="4" customFormat="1" ht="12.75"/>
    <row r="720" s="4" customFormat="1" ht="12.75"/>
    <row r="721" s="4" customFormat="1" ht="12.75"/>
    <row r="722" s="4" customFormat="1" ht="12.75"/>
    <row r="723" s="4" customFormat="1" ht="12.75"/>
    <row r="743" spans="1:8" s="4" customFormat="1" ht="12.75">
      <c r="A743" s="63" t="s">
        <v>465</v>
      </c>
      <c r="B743" s="64"/>
      <c r="C743" s="65"/>
      <c r="D743" s="66"/>
      <c r="E743" s="64"/>
      <c r="F743" s="64"/>
      <c r="G743" s="64"/>
      <c r="H743" s="64"/>
    </row>
    <row r="744" spans="1:8" s="4" customFormat="1" ht="12.75">
      <c r="A744" s="63"/>
      <c r="B744" s="64"/>
      <c r="C744" s="65"/>
      <c r="D744" s="66"/>
      <c r="E744" s="68" t="s">
        <v>61</v>
      </c>
      <c r="F744" s="68" t="s">
        <v>62</v>
      </c>
      <c r="G744" s="68" t="s">
        <v>63</v>
      </c>
      <c r="H744" s="68" t="s">
        <v>64</v>
      </c>
    </row>
    <row r="745" spans="1:8" s="4" customFormat="1" ht="12.75">
      <c r="A745" s="29" t="s">
        <v>466</v>
      </c>
      <c r="B745" s="82">
        <v>7</v>
      </c>
      <c r="C745" s="30" t="s">
        <v>8</v>
      </c>
      <c r="D745" s="9">
        <v>931130</v>
      </c>
      <c r="E745" s="29" t="s">
        <v>11</v>
      </c>
      <c r="F745" s="83">
        <f t="shared" ref="F745:F752" si="26">B745*D745</f>
        <v>6517910</v>
      </c>
      <c r="G745" s="9" t="s">
        <v>11</v>
      </c>
      <c r="H745" s="29" t="s">
        <v>11</v>
      </c>
    </row>
    <row r="746" spans="1:8" s="12" customFormat="1" ht="12.75">
      <c r="A746" s="94" t="s">
        <v>467</v>
      </c>
      <c r="B746" s="93">
        <v>12</v>
      </c>
      <c r="C746" s="41" t="s">
        <v>8</v>
      </c>
      <c r="D746" s="42">
        <v>926921</v>
      </c>
      <c r="E746" s="94" t="s">
        <v>11</v>
      </c>
      <c r="F746" s="95">
        <f t="shared" si="26"/>
        <v>11123052</v>
      </c>
      <c r="G746" s="42" t="s">
        <v>11</v>
      </c>
      <c r="H746" s="94" t="s">
        <v>11</v>
      </c>
    </row>
    <row r="747" spans="1:8" s="12" customFormat="1" ht="12.75">
      <c r="A747" s="94" t="s">
        <v>468</v>
      </c>
      <c r="B747" s="93">
        <v>1</v>
      </c>
      <c r="C747" s="41" t="s">
        <v>8</v>
      </c>
      <c r="D747" s="42">
        <v>354323</v>
      </c>
      <c r="E747" s="94"/>
      <c r="F747" s="95">
        <f t="shared" si="26"/>
        <v>354323</v>
      </c>
      <c r="G747" s="42"/>
      <c r="H747" s="94"/>
    </row>
    <row r="748" spans="1:8" s="4" customFormat="1" ht="12.75">
      <c r="A748" s="29" t="s">
        <v>469</v>
      </c>
      <c r="B748" s="82">
        <v>1</v>
      </c>
      <c r="C748" s="30" t="s">
        <v>8</v>
      </c>
      <c r="D748" s="9">
        <v>366270</v>
      </c>
      <c r="E748" s="29" t="s">
        <v>11</v>
      </c>
      <c r="F748" s="83">
        <f t="shared" si="26"/>
        <v>366270</v>
      </c>
      <c r="G748" s="9" t="s">
        <v>11</v>
      </c>
      <c r="H748" s="29" t="s">
        <v>11</v>
      </c>
    </row>
    <row r="749" spans="1:8" s="4" customFormat="1" ht="12.75">
      <c r="A749" s="29" t="s">
        <v>470</v>
      </c>
      <c r="B749" s="82">
        <v>1</v>
      </c>
      <c r="C749" s="30" t="s">
        <v>8</v>
      </c>
      <c r="D749" s="9">
        <v>65000</v>
      </c>
      <c r="E749" s="29"/>
      <c r="F749" s="83">
        <f t="shared" si="26"/>
        <v>65000</v>
      </c>
      <c r="G749" s="9"/>
      <c r="H749" s="29"/>
    </row>
    <row r="750" spans="1:8" s="4" customFormat="1" ht="12.75">
      <c r="A750" s="29" t="s">
        <v>471</v>
      </c>
      <c r="B750" s="82">
        <v>5</v>
      </c>
      <c r="C750" s="30" t="s">
        <v>8</v>
      </c>
      <c r="D750" s="9">
        <v>100000</v>
      </c>
      <c r="E750" s="29"/>
      <c r="F750" s="83">
        <f t="shared" si="26"/>
        <v>500000</v>
      </c>
      <c r="G750" s="9"/>
      <c r="H750" s="29"/>
    </row>
    <row r="751" spans="1:8" s="4" customFormat="1" ht="12.75">
      <c r="A751" s="29" t="s">
        <v>472</v>
      </c>
      <c r="B751" s="82">
        <v>12</v>
      </c>
      <c r="C751" s="30" t="s">
        <v>8</v>
      </c>
      <c r="D751" s="9">
        <v>250000</v>
      </c>
      <c r="E751" s="29"/>
      <c r="F751" s="83">
        <f t="shared" si="26"/>
        <v>3000000</v>
      </c>
      <c r="G751" s="9"/>
      <c r="H751" s="29"/>
    </row>
    <row r="752" spans="1:8" s="4" customFormat="1" ht="12.75">
      <c r="A752" s="29" t="s">
        <v>473</v>
      </c>
      <c r="B752" s="82">
        <v>12</v>
      </c>
      <c r="C752" s="30" t="s">
        <v>8</v>
      </c>
      <c r="D752" s="9">
        <v>150000</v>
      </c>
      <c r="E752" s="29"/>
      <c r="F752" s="83">
        <f t="shared" si="26"/>
        <v>1800000</v>
      </c>
      <c r="G752" s="9"/>
      <c r="H752" s="29"/>
    </row>
    <row r="753" spans="1:8" s="4" customFormat="1" ht="12.75">
      <c r="A753" s="29" t="s">
        <v>68</v>
      </c>
      <c r="B753" s="84">
        <v>11.8</v>
      </c>
      <c r="C753" s="30" t="s">
        <v>69</v>
      </c>
      <c r="D753" s="9">
        <v>170000</v>
      </c>
      <c r="E753" s="29" t="s">
        <v>11</v>
      </c>
      <c r="F753" s="83"/>
      <c r="G753" s="9">
        <f>B753*D753</f>
        <v>2006000.0000000002</v>
      </c>
      <c r="H753" s="29" t="s">
        <v>11</v>
      </c>
    </row>
    <row r="754" spans="1:8" s="4" customFormat="1" ht="12.75">
      <c r="A754" s="76" t="s">
        <v>70</v>
      </c>
      <c r="B754" s="85">
        <f>ROUND((SUM(E754:H754)),0)</f>
        <v>25732555</v>
      </c>
      <c r="C754" s="78" t="s">
        <v>8</v>
      </c>
      <c r="D754" s="86"/>
      <c r="E754" s="80">
        <f>SUM(E745:E753)</f>
        <v>0</v>
      </c>
      <c r="F754" s="80">
        <f>SUM(F745:F753)</f>
        <v>23726555</v>
      </c>
      <c r="G754" s="80">
        <f>SUM(G745:G753)</f>
        <v>2006000.0000000002</v>
      </c>
      <c r="H754" s="80">
        <f>SUM(H745:H753)</f>
        <v>0</v>
      </c>
    </row>
    <row r="756" spans="1:8" s="4" customFormat="1" ht="12.75">
      <c r="A756" s="63" t="s">
        <v>474</v>
      </c>
      <c r="B756" s="64"/>
      <c r="C756" s="65"/>
      <c r="D756" s="66"/>
      <c r="E756" s="64"/>
      <c r="F756" s="64"/>
      <c r="G756" s="64"/>
      <c r="H756" s="64"/>
    </row>
    <row r="757" spans="1:8" s="4" customFormat="1" ht="12.75">
      <c r="A757" s="63"/>
      <c r="B757" s="64"/>
      <c r="C757" s="65"/>
      <c r="D757" s="66"/>
      <c r="E757" s="68" t="s">
        <v>61</v>
      </c>
      <c r="F757" s="68" t="s">
        <v>62</v>
      </c>
      <c r="G757" s="68" t="s">
        <v>63</v>
      </c>
      <c r="H757" s="68" t="s">
        <v>64</v>
      </c>
    </row>
    <row r="758" spans="1:8" s="4" customFormat="1" ht="12.75">
      <c r="A758" s="29" t="s">
        <v>475</v>
      </c>
      <c r="B758" s="82">
        <v>1</v>
      </c>
      <c r="C758" s="30" t="s">
        <v>8</v>
      </c>
      <c r="D758" s="9">
        <v>1000000</v>
      </c>
      <c r="E758" s="29" t="s">
        <v>11</v>
      </c>
      <c r="F758" s="83">
        <f>B758*D758</f>
        <v>1000000</v>
      </c>
      <c r="G758" s="9" t="s">
        <v>11</v>
      </c>
      <c r="H758" s="29" t="s">
        <v>11</v>
      </c>
    </row>
    <row r="759" spans="1:8" s="4" customFormat="1" ht="12.75">
      <c r="A759" s="29" t="s">
        <v>68</v>
      </c>
      <c r="B759" s="91">
        <v>2</v>
      </c>
      <c r="C759" s="30" t="s">
        <v>69</v>
      </c>
      <c r="D759" s="9">
        <v>170000</v>
      </c>
      <c r="E759" s="29" t="s">
        <v>11</v>
      </c>
      <c r="F759" s="83"/>
      <c r="G759" s="9">
        <f>B759*D759</f>
        <v>340000</v>
      </c>
      <c r="H759" s="29" t="s">
        <v>11</v>
      </c>
    </row>
    <row r="760" spans="1:8" s="4" customFormat="1" ht="12.75">
      <c r="A760" s="76" t="s">
        <v>70</v>
      </c>
      <c r="B760" s="85">
        <f>ROUND((SUM(E760:H760)),0)</f>
        <v>1340000</v>
      </c>
      <c r="C760" s="78" t="s">
        <v>73</v>
      </c>
      <c r="D760" s="86"/>
      <c r="E760" s="80">
        <f>SUM(E758:E759)</f>
        <v>0</v>
      </c>
      <c r="F760" s="80">
        <f>SUM(F758:F759)</f>
        <v>1000000</v>
      </c>
      <c r="G760" s="80">
        <f>SUM(G758:G759)</f>
        <v>340000</v>
      </c>
      <c r="H760" s="80">
        <f>SUM(H758:H759)</f>
        <v>0</v>
      </c>
    </row>
    <row r="768" spans="1:8" s="4" customFormat="1" ht="12.75"/>
    <row r="769" spans="1:8" s="4" customFormat="1" ht="12.75"/>
    <row r="770" spans="1:8" s="4" customFormat="1" ht="12.75"/>
    <row r="771" spans="1:8" s="4" customFormat="1" ht="12.75"/>
    <row r="772" spans="1:8" s="4" customFormat="1" ht="12.75"/>
    <row r="773" spans="1:8" s="4" customFormat="1" ht="12.75"/>
    <row r="775" spans="1:8" s="4" customFormat="1" ht="12.75">
      <c r="A775" s="206" t="s">
        <v>476</v>
      </c>
      <c r="B775" s="207"/>
      <c r="C775" s="207"/>
      <c r="D775" s="207"/>
      <c r="E775" s="207"/>
      <c r="F775" s="207"/>
      <c r="G775" s="207"/>
      <c r="H775" s="207"/>
    </row>
    <row r="776" spans="1:8" s="4" customFormat="1" ht="12.75">
      <c r="A776" s="206"/>
      <c r="B776" s="207"/>
      <c r="C776" s="207"/>
      <c r="D776" s="207"/>
      <c r="E776" s="208" t="s">
        <v>61</v>
      </c>
      <c r="F776" s="208" t="s">
        <v>62</v>
      </c>
      <c r="G776" s="208" t="s">
        <v>477</v>
      </c>
      <c r="H776" s="208" t="s">
        <v>64</v>
      </c>
    </row>
    <row r="777" spans="1:8" s="4" customFormat="1" ht="12.75">
      <c r="A777" s="209" t="s">
        <v>478</v>
      </c>
      <c r="B777" s="210">
        <v>4</v>
      </c>
      <c r="C777" s="211" t="s">
        <v>8</v>
      </c>
      <c r="D777" s="210">
        <v>105000</v>
      </c>
      <c r="E777" s="210"/>
      <c r="F777" s="210">
        <f t="shared" ref="F777:F784" si="27">B777*D777</f>
        <v>420000</v>
      </c>
      <c r="G777" s="210"/>
      <c r="H777" s="210"/>
    </row>
    <row r="778" spans="1:8" s="4" customFormat="1" ht="12.75">
      <c r="A778" s="209" t="s">
        <v>479</v>
      </c>
      <c r="B778" s="210">
        <v>12</v>
      </c>
      <c r="C778" s="211" t="s">
        <v>8</v>
      </c>
      <c r="D778" s="210">
        <v>155000</v>
      </c>
      <c r="E778" s="210"/>
      <c r="F778" s="210">
        <f t="shared" si="27"/>
        <v>1860000</v>
      </c>
      <c r="G778" s="210"/>
      <c r="H778" s="210"/>
    </row>
    <row r="779" spans="1:8" s="4" customFormat="1" ht="12.75">
      <c r="A779" s="209" t="s">
        <v>102</v>
      </c>
      <c r="B779" s="210">
        <v>1</v>
      </c>
      <c r="C779" s="211" t="s">
        <v>75</v>
      </c>
      <c r="D779" s="210">
        <v>1500000</v>
      </c>
      <c r="E779" s="210"/>
      <c r="F779" s="210">
        <f t="shared" si="27"/>
        <v>1500000</v>
      </c>
      <c r="G779" s="210"/>
      <c r="H779" s="210"/>
    </row>
    <row r="780" spans="1:8" s="4" customFormat="1" ht="12.75">
      <c r="A780" s="209" t="s">
        <v>480</v>
      </c>
      <c r="B780" s="210">
        <v>300</v>
      </c>
      <c r="C780" s="211" t="s">
        <v>18</v>
      </c>
      <c r="D780" s="210">
        <v>2500</v>
      </c>
      <c r="E780" s="210"/>
      <c r="F780" s="210">
        <f t="shared" si="27"/>
        <v>750000</v>
      </c>
      <c r="G780" s="210"/>
      <c r="H780" s="210"/>
    </row>
    <row r="781" spans="1:8" s="4" customFormat="1" ht="12.75">
      <c r="A781" s="209" t="s">
        <v>481</v>
      </c>
      <c r="B781" s="210">
        <v>150</v>
      </c>
      <c r="C781" s="211" t="s">
        <v>18</v>
      </c>
      <c r="D781" s="210">
        <v>18500</v>
      </c>
      <c r="E781" s="210"/>
      <c r="F781" s="210">
        <f t="shared" si="27"/>
        <v>2775000</v>
      </c>
      <c r="G781" s="210"/>
      <c r="H781" s="210"/>
    </row>
    <row r="782" spans="1:8" s="4" customFormat="1" ht="12.75">
      <c r="A782" s="209" t="s">
        <v>482</v>
      </c>
      <c r="B782" s="210">
        <v>100</v>
      </c>
      <c r="C782" s="211" t="s">
        <v>18</v>
      </c>
      <c r="D782" s="210">
        <v>6770</v>
      </c>
      <c r="E782" s="210"/>
      <c r="F782" s="210">
        <f t="shared" si="27"/>
        <v>677000</v>
      </c>
      <c r="G782" s="210"/>
      <c r="H782" s="210"/>
    </row>
    <row r="783" spans="1:8" s="4" customFormat="1" ht="12.75">
      <c r="A783" s="209" t="s">
        <v>80</v>
      </c>
      <c r="B783" s="210">
        <v>500</v>
      </c>
      <c r="C783" s="211" t="s">
        <v>483</v>
      </c>
      <c r="D783" s="210">
        <v>185</v>
      </c>
      <c r="E783" s="210"/>
      <c r="F783" s="210">
        <f t="shared" si="27"/>
        <v>92500</v>
      </c>
      <c r="G783" s="210"/>
      <c r="H783" s="210"/>
    </row>
    <row r="784" spans="1:8" s="4" customFormat="1" ht="12.75">
      <c r="A784" s="209" t="s">
        <v>484</v>
      </c>
      <c r="B784" s="210">
        <v>4</v>
      </c>
      <c r="C784" s="211" t="s">
        <v>8</v>
      </c>
      <c r="D784" s="210">
        <v>100000</v>
      </c>
      <c r="E784" s="210"/>
      <c r="F784" s="210">
        <f t="shared" si="27"/>
        <v>400000</v>
      </c>
      <c r="G784" s="210"/>
      <c r="H784" s="210"/>
    </row>
    <row r="785" spans="1:8" s="4" customFormat="1" ht="12.75">
      <c r="A785" s="209" t="s">
        <v>68</v>
      </c>
      <c r="B785" s="212">
        <v>5</v>
      </c>
      <c r="C785" s="211" t="s">
        <v>485</v>
      </c>
      <c r="D785" s="210">
        <v>421000</v>
      </c>
      <c r="E785" s="210"/>
      <c r="F785" s="210"/>
      <c r="G785" s="210">
        <f>B785*D785</f>
        <v>2105000</v>
      </c>
      <c r="H785" s="210"/>
    </row>
    <row r="786" spans="1:8" s="4" customFormat="1" ht="12.75">
      <c r="A786" s="209"/>
      <c r="B786" s="210"/>
      <c r="C786" s="211"/>
      <c r="D786" s="210"/>
      <c r="E786" s="210"/>
      <c r="F786" s="210"/>
      <c r="G786" s="210"/>
      <c r="H786" s="210"/>
    </row>
    <row r="787" spans="1:8" s="4" customFormat="1" ht="12.75">
      <c r="A787" s="213" t="s">
        <v>70</v>
      </c>
      <c r="B787" s="214">
        <f>F787+G787</f>
        <v>10579500</v>
      </c>
      <c r="C787" s="215" t="s">
        <v>486</v>
      </c>
      <c r="D787" s="216"/>
      <c r="E787" s="210">
        <f>SUM(E777:E786)</f>
        <v>0</v>
      </c>
      <c r="F787" s="210">
        <f>SUM(F777:F786)</f>
        <v>8474500</v>
      </c>
      <c r="G787" s="210">
        <f>SUM(G777:G786)</f>
        <v>2105000</v>
      </c>
      <c r="H787" s="210">
        <f>SUM(H777:H786)</f>
        <v>0</v>
      </c>
    </row>
    <row r="789" spans="1:8" s="4" customFormat="1" ht="12.75">
      <c r="A789" s="63" t="s">
        <v>487</v>
      </c>
      <c r="B789" s="64"/>
      <c r="C789" s="65"/>
      <c r="D789" s="66"/>
      <c r="E789" s="64"/>
      <c r="F789" s="64"/>
      <c r="G789" s="64"/>
      <c r="H789" s="64"/>
    </row>
    <row r="790" spans="1:8" s="4" customFormat="1" ht="12.75">
      <c r="A790" s="63"/>
      <c r="B790" s="64"/>
      <c r="C790" s="65"/>
      <c r="D790" s="66"/>
      <c r="E790" s="68" t="s">
        <v>61</v>
      </c>
      <c r="F790" s="68" t="s">
        <v>62</v>
      </c>
      <c r="G790" s="68" t="s">
        <v>63</v>
      </c>
      <c r="H790" s="68" t="s">
        <v>64</v>
      </c>
    </row>
    <row r="791" spans="1:8" s="4" customFormat="1" ht="12.75">
      <c r="A791" s="90" t="s">
        <v>173</v>
      </c>
      <c r="B791" s="82">
        <v>1</v>
      </c>
      <c r="C791" s="30" t="s">
        <v>8</v>
      </c>
      <c r="D791" s="9">
        <v>1500000</v>
      </c>
      <c r="E791" s="29" t="s">
        <v>11</v>
      </c>
      <c r="F791" s="83">
        <f>B791*D791</f>
        <v>1500000</v>
      </c>
      <c r="G791" s="9" t="s">
        <v>11</v>
      </c>
      <c r="H791" s="29" t="s">
        <v>11</v>
      </c>
    </row>
    <row r="792" spans="1:8" s="4" customFormat="1" ht="12.75">
      <c r="A792" s="90" t="s">
        <v>488</v>
      </c>
      <c r="B792" s="82">
        <v>1</v>
      </c>
      <c r="C792" s="30" t="s">
        <v>8</v>
      </c>
      <c r="D792" s="9">
        <v>3560000</v>
      </c>
      <c r="E792" s="29" t="s">
        <v>11</v>
      </c>
      <c r="F792" s="83">
        <f>B792*D792</f>
        <v>3560000</v>
      </c>
      <c r="G792" s="9" t="s">
        <v>11</v>
      </c>
      <c r="H792" s="29" t="s">
        <v>11</v>
      </c>
    </row>
    <row r="793" spans="1:8" s="4" customFormat="1" ht="12.75">
      <c r="A793" s="90" t="s">
        <v>175</v>
      </c>
      <c r="B793" s="82">
        <v>1</v>
      </c>
      <c r="C793" s="30" t="s">
        <v>8</v>
      </c>
      <c r="D793" s="9">
        <v>2000000</v>
      </c>
      <c r="E793" s="29" t="s">
        <v>11</v>
      </c>
      <c r="F793" s="83">
        <f>B793*D793</f>
        <v>2000000</v>
      </c>
      <c r="G793" s="9" t="s">
        <v>11</v>
      </c>
      <c r="H793" s="29" t="s">
        <v>11</v>
      </c>
    </row>
    <row r="794" spans="1:8" s="4" customFormat="1" ht="12.75">
      <c r="A794" s="90" t="s">
        <v>68</v>
      </c>
      <c r="B794" s="84">
        <v>2.7</v>
      </c>
      <c r="C794" s="30" t="s">
        <v>69</v>
      </c>
      <c r="D794" s="9">
        <v>170000</v>
      </c>
      <c r="E794" s="29" t="s">
        <v>11</v>
      </c>
      <c r="F794" s="29" t="s">
        <v>11</v>
      </c>
      <c r="G794" s="9">
        <f>B794*D794</f>
        <v>459000.00000000006</v>
      </c>
      <c r="H794" s="29" t="s">
        <v>11</v>
      </c>
    </row>
    <row r="795" spans="1:8" s="4" customFormat="1" ht="12.75">
      <c r="A795" s="76" t="s">
        <v>70</v>
      </c>
      <c r="B795" s="85">
        <f>ROUND((SUM(E795:H795)),0)</f>
        <v>7519000</v>
      </c>
      <c r="C795" s="78" t="s">
        <v>71</v>
      </c>
      <c r="D795" s="86"/>
      <c r="E795" s="80">
        <f>SUM(E791:E794)</f>
        <v>0</v>
      </c>
      <c r="F795" s="80">
        <f>SUM(F791:F794)</f>
        <v>7060000</v>
      </c>
      <c r="G795" s="80">
        <f>SUM(G791:G794)</f>
        <v>459000.00000000006</v>
      </c>
      <c r="H795" s="80">
        <f>SUM(H791:H794)</f>
        <v>0</v>
      </c>
    </row>
    <row r="796" spans="1:8" s="4" customFormat="1" ht="12.75">
      <c r="A796" s="64"/>
      <c r="B796" s="64"/>
      <c r="C796" s="65"/>
      <c r="D796" s="66"/>
      <c r="E796" s="64"/>
      <c r="F796" s="64"/>
      <c r="G796" s="64"/>
      <c r="H796" s="64"/>
    </row>
    <row r="797" spans="1:8" s="4" customFormat="1" ht="12.75">
      <c r="A797" s="63" t="s">
        <v>489</v>
      </c>
      <c r="B797" s="64"/>
      <c r="C797" s="65"/>
      <c r="D797" s="66"/>
      <c r="E797" s="64"/>
      <c r="F797" s="64"/>
      <c r="G797" s="64"/>
      <c r="H797" s="64"/>
    </row>
    <row r="798" spans="1:8" s="4" customFormat="1" ht="12.75">
      <c r="A798" s="63"/>
      <c r="B798" s="64"/>
      <c r="C798" s="65"/>
      <c r="D798" s="66"/>
      <c r="E798" s="68" t="s">
        <v>61</v>
      </c>
      <c r="F798" s="68" t="s">
        <v>62</v>
      </c>
      <c r="G798" s="68" t="s">
        <v>63</v>
      </c>
      <c r="H798" s="68" t="s">
        <v>64</v>
      </c>
    </row>
    <row r="799" spans="1:8" s="4" customFormat="1" ht="12.75">
      <c r="A799" s="90" t="s">
        <v>183</v>
      </c>
      <c r="B799" s="82">
        <v>4</v>
      </c>
      <c r="C799" s="30" t="s">
        <v>66</v>
      </c>
      <c r="D799" s="9">
        <v>9500</v>
      </c>
      <c r="E799" s="29" t="s">
        <v>11</v>
      </c>
      <c r="F799" s="83">
        <f>B799*D799</f>
        <v>38000</v>
      </c>
      <c r="G799" s="9" t="s">
        <v>11</v>
      </c>
      <c r="H799" s="29" t="s">
        <v>11</v>
      </c>
    </row>
    <row r="800" spans="1:8" s="4" customFormat="1" ht="12.75">
      <c r="A800" s="90" t="s">
        <v>185</v>
      </c>
      <c r="B800" s="82">
        <v>1</v>
      </c>
      <c r="C800" s="30" t="s">
        <v>66</v>
      </c>
      <c r="D800" s="9">
        <v>6500</v>
      </c>
      <c r="E800" s="29" t="s">
        <v>11</v>
      </c>
      <c r="F800" s="83">
        <f>B800*D800</f>
        <v>6500</v>
      </c>
      <c r="G800" s="9" t="s">
        <v>11</v>
      </c>
      <c r="H800" s="29" t="s">
        <v>11</v>
      </c>
    </row>
    <row r="801" spans="1:8" s="4" customFormat="1" ht="12.75">
      <c r="A801" s="29" t="s">
        <v>490</v>
      </c>
      <c r="B801" s="82">
        <v>1</v>
      </c>
      <c r="C801" s="30" t="s">
        <v>66</v>
      </c>
      <c r="D801" s="9">
        <v>4500</v>
      </c>
      <c r="E801" s="29" t="s">
        <v>11</v>
      </c>
      <c r="F801" s="83">
        <f>B801*D801</f>
        <v>4500</v>
      </c>
      <c r="G801" s="9" t="s">
        <v>11</v>
      </c>
      <c r="H801" s="29" t="s">
        <v>11</v>
      </c>
    </row>
    <row r="802" spans="1:8" s="4" customFormat="1" ht="12.75">
      <c r="A802" s="90" t="s">
        <v>68</v>
      </c>
      <c r="B802" s="91">
        <v>0.05</v>
      </c>
      <c r="C802" s="30" t="s">
        <v>69</v>
      </c>
      <c r="D802" s="9">
        <v>170000</v>
      </c>
      <c r="E802" s="29" t="s">
        <v>11</v>
      </c>
      <c r="F802" s="29" t="s">
        <v>11</v>
      </c>
      <c r="G802" s="9">
        <f>B802*D802</f>
        <v>8500</v>
      </c>
      <c r="H802" s="29" t="s">
        <v>11</v>
      </c>
    </row>
    <row r="803" spans="1:8" s="4" customFormat="1" ht="12.75">
      <c r="A803" s="76" t="s">
        <v>70</v>
      </c>
      <c r="B803" s="85">
        <f>ROUND((SUM(E803:H803)),0)</f>
        <v>57500</v>
      </c>
      <c r="C803" s="78" t="s">
        <v>71</v>
      </c>
      <c r="D803" s="86"/>
      <c r="E803" s="80">
        <f>SUM(E799:E802)</f>
        <v>0</v>
      </c>
      <c r="F803" s="80">
        <f>SUM(F799:F802)</f>
        <v>49000</v>
      </c>
      <c r="G803" s="80">
        <f>SUM(G799:G802)</f>
        <v>8500</v>
      </c>
      <c r="H803" s="80">
        <f>SUM(H799:H802)</f>
        <v>0</v>
      </c>
    </row>
    <row r="805" spans="1:8" s="4" customFormat="1" ht="12.75">
      <c r="A805" s="63" t="s">
        <v>491</v>
      </c>
      <c r="B805" s="64"/>
      <c r="C805" s="65"/>
      <c r="D805" s="66"/>
      <c r="E805" s="64"/>
      <c r="F805" s="64"/>
      <c r="G805" s="64"/>
      <c r="H805" s="64"/>
    </row>
    <row r="806" spans="1:8" s="4" customFormat="1" ht="12.75">
      <c r="A806" s="63"/>
      <c r="B806" s="64"/>
      <c r="C806" s="65"/>
      <c r="D806" s="66"/>
      <c r="E806" s="68" t="s">
        <v>61</v>
      </c>
      <c r="F806" s="68" t="s">
        <v>62</v>
      </c>
      <c r="G806" s="68" t="s">
        <v>63</v>
      </c>
      <c r="H806" s="68" t="s">
        <v>64</v>
      </c>
    </row>
    <row r="807" spans="1:8" s="4" customFormat="1" ht="12.75">
      <c r="A807" s="90" t="s">
        <v>173</v>
      </c>
      <c r="B807" s="82">
        <v>1</v>
      </c>
      <c r="C807" s="30" t="s">
        <v>8</v>
      </c>
      <c r="D807" s="9">
        <v>2000000</v>
      </c>
      <c r="E807" s="29" t="s">
        <v>11</v>
      </c>
      <c r="F807" s="83">
        <f>B807*D807</f>
        <v>2000000</v>
      </c>
      <c r="G807" s="9" t="s">
        <v>11</v>
      </c>
      <c r="H807" s="29" t="s">
        <v>11</v>
      </c>
    </row>
    <row r="808" spans="1:8" s="4" customFormat="1" ht="12.75">
      <c r="A808" s="90" t="s">
        <v>492</v>
      </c>
      <c r="B808" s="82">
        <v>3</v>
      </c>
      <c r="C808" s="30" t="s">
        <v>8</v>
      </c>
      <c r="D808" s="9">
        <v>150000</v>
      </c>
      <c r="E808" s="29" t="s">
        <v>11</v>
      </c>
      <c r="F808" s="83">
        <f>B808*D808</f>
        <v>450000</v>
      </c>
      <c r="G808" s="9" t="s">
        <v>11</v>
      </c>
      <c r="H808" s="29" t="s">
        <v>11</v>
      </c>
    </row>
    <row r="809" spans="1:8" s="4" customFormat="1" ht="12.75">
      <c r="A809" s="90" t="s">
        <v>68</v>
      </c>
      <c r="B809" s="84">
        <v>1.5</v>
      </c>
      <c r="C809" s="30" t="s">
        <v>69</v>
      </c>
      <c r="D809" s="9">
        <v>170000</v>
      </c>
      <c r="E809" s="29" t="s">
        <v>11</v>
      </c>
      <c r="F809" s="29" t="s">
        <v>11</v>
      </c>
      <c r="G809" s="9">
        <f>B809*D809</f>
        <v>255000</v>
      </c>
      <c r="H809" s="29" t="s">
        <v>11</v>
      </c>
    </row>
    <row r="810" spans="1:8" s="4" customFormat="1" ht="12.75">
      <c r="A810" s="76" t="s">
        <v>70</v>
      </c>
      <c r="B810" s="85">
        <f>ROUND((SUM(E810:H810)),0)</f>
        <v>2705000</v>
      </c>
      <c r="C810" s="78" t="s">
        <v>73</v>
      </c>
      <c r="D810" s="86"/>
      <c r="E810" s="80">
        <f>SUM(E807:E809)</f>
        <v>0</v>
      </c>
      <c r="F810" s="80">
        <f>SUM(F807:F809)</f>
        <v>2450000</v>
      </c>
      <c r="G810" s="80">
        <f>SUM(G807:G809)</f>
        <v>255000</v>
      </c>
      <c r="H810" s="80">
        <f>SUM(H807:H809)</f>
        <v>0</v>
      </c>
    </row>
    <row r="812" spans="1:8" s="4" customFormat="1" ht="12.75">
      <c r="A812" s="63" t="s">
        <v>493</v>
      </c>
      <c r="B812" s="64"/>
      <c r="C812" s="65"/>
      <c r="D812" s="66"/>
      <c r="E812" s="64"/>
      <c r="F812" s="64"/>
      <c r="G812" s="64"/>
      <c r="H812" s="64"/>
    </row>
    <row r="813" spans="1:8" s="4" customFormat="1" ht="12.75">
      <c r="A813" s="63"/>
      <c r="B813" s="64"/>
      <c r="C813" s="65"/>
      <c r="D813" s="66"/>
      <c r="E813" s="68" t="s">
        <v>61</v>
      </c>
      <c r="F813" s="68" t="s">
        <v>62</v>
      </c>
      <c r="G813" s="68" t="s">
        <v>63</v>
      </c>
      <c r="H813" s="68" t="s">
        <v>64</v>
      </c>
    </row>
    <row r="814" spans="1:8" s="4" customFormat="1" ht="12.75">
      <c r="A814" s="29" t="s">
        <v>98</v>
      </c>
      <c r="B814" s="82">
        <v>4</v>
      </c>
      <c r="C814" s="30" t="s">
        <v>66</v>
      </c>
      <c r="D814" s="9">
        <v>6500</v>
      </c>
      <c r="E814" s="29" t="s">
        <v>11</v>
      </c>
      <c r="F814" s="83">
        <f>B814*D814</f>
        <v>26000</v>
      </c>
      <c r="G814" s="9" t="s">
        <v>11</v>
      </c>
      <c r="H814" s="29" t="s">
        <v>11</v>
      </c>
    </row>
    <row r="815" spans="1:8" s="4" customFormat="1" ht="12.75">
      <c r="A815" s="29" t="s">
        <v>100</v>
      </c>
      <c r="B815" s="82">
        <v>1</v>
      </c>
      <c r="C815" s="30" t="s">
        <v>66</v>
      </c>
      <c r="D815" s="9">
        <v>4000</v>
      </c>
      <c r="E815" s="29" t="s">
        <v>11</v>
      </c>
      <c r="F815" s="83">
        <f>B815*D815</f>
        <v>4000</v>
      </c>
      <c r="G815" s="9" t="s">
        <v>11</v>
      </c>
      <c r="H815" s="29" t="s">
        <v>11</v>
      </c>
    </row>
    <row r="816" spans="1:8" s="4" customFormat="1" ht="12.75">
      <c r="A816" s="29" t="s">
        <v>490</v>
      </c>
      <c r="B816" s="82">
        <v>1</v>
      </c>
      <c r="C816" s="30" t="s">
        <v>66</v>
      </c>
      <c r="D816" s="9">
        <v>4500</v>
      </c>
      <c r="E816" s="29" t="s">
        <v>11</v>
      </c>
      <c r="F816" s="83">
        <f>B816*D816</f>
        <v>4500</v>
      </c>
      <c r="G816" s="9" t="s">
        <v>11</v>
      </c>
      <c r="H816" s="29" t="s">
        <v>11</v>
      </c>
    </row>
    <row r="817" spans="1:8" s="4" customFormat="1" ht="12.75">
      <c r="A817" s="29" t="s">
        <v>68</v>
      </c>
      <c r="B817" s="135">
        <v>4.4117000000000003E-2</v>
      </c>
      <c r="C817" s="30" t="s">
        <v>69</v>
      </c>
      <c r="D817" s="9">
        <v>170000</v>
      </c>
      <c r="E817" s="29" t="s">
        <v>11</v>
      </c>
      <c r="F817" s="83"/>
      <c r="G817" s="9">
        <f>B817*D817</f>
        <v>7499.89</v>
      </c>
      <c r="H817" s="29" t="s">
        <v>11</v>
      </c>
    </row>
    <row r="818" spans="1:8" s="4" customFormat="1" ht="12.75">
      <c r="A818" s="76" t="s">
        <v>70</v>
      </c>
      <c r="B818" s="85">
        <f>ROUND((SUM(E818:H818)),0)</f>
        <v>42000</v>
      </c>
      <c r="C818" s="78" t="s">
        <v>71</v>
      </c>
      <c r="D818" s="86"/>
      <c r="E818" s="80">
        <f>SUM(E814:E817)</f>
        <v>0</v>
      </c>
      <c r="F818" s="80">
        <f>SUM(F814:F817)</f>
        <v>34500</v>
      </c>
      <c r="G818" s="80">
        <f>SUM(G814:G817)</f>
        <v>7499.89</v>
      </c>
      <c r="H818" s="80">
        <f>SUM(H814:H817)</f>
        <v>0</v>
      </c>
    </row>
    <row r="820" spans="1:8" s="4" customFormat="1" ht="12.75">
      <c r="A820" s="63" t="s">
        <v>494</v>
      </c>
      <c r="B820" s="64"/>
      <c r="C820" s="65"/>
      <c r="D820" s="66"/>
      <c r="E820" s="64"/>
      <c r="F820" s="64"/>
      <c r="G820" s="64"/>
      <c r="H820" s="64"/>
    </row>
    <row r="821" spans="1:8" s="4" customFormat="1" ht="12.75">
      <c r="A821" s="63"/>
      <c r="B821" s="64"/>
      <c r="C821" s="65"/>
      <c r="D821" s="66"/>
      <c r="E821" s="68" t="s">
        <v>61</v>
      </c>
      <c r="F821" s="68" t="s">
        <v>62</v>
      </c>
      <c r="G821" s="68" t="s">
        <v>63</v>
      </c>
      <c r="H821" s="68" t="s">
        <v>64</v>
      </c>
    </row>
    <row r="822" spans="1:8" s="4" customFormat="1" ht="12.75">
      <c r="A822" s="29" t="s">
        <v>199</v>
      </c>
      <c r="B822" s="82">
        <v>3</v>
      </c>
      <c r="C822" s="30" t="s">
        <v>18</v>
      </c>
      <c r="D822" s="9">
        <v>1400</v>
      </c>
      <c r="E822" s="29" t="s">
        <v>11</v>
      </c>
      <c r="F822" s="83">
        <f>B822*D822</f>
        <v>4200</v>
      </c>
      <c r="G822" s="9" t="s">
        <v>11</v>
      </c>
      <c r="H822" s="29" t="s">
        <v>11</v>
      </c>
    </row>
    <row r="823" spans="1:8" s="4" customFormat="1" ht="12.75">
      <c r="A823" s="29" t="s">
        <v>196</v>
      </c>
      <c r="B823" s="82">
        <v>1</v>
      </c>
      <c r="C823" s="30" t="s">
        <v>18</v>
      </c>
      <c r="D823" s="9">
        <v>900</v>
      </c>
      <c r="E823" s="29"/>
      <c r="F823" s="83">
        <f>B823*D823</f>
        <v>900</v>
      </c>
      <c r="G823" s="9"/>
      <c r="H823" s="29"/>
    </row>
    <row r="824" spans="1:8" s="4" customFormat="1" ht="12.75">
      <c r="A824" s="29" t="s">
        <v>197</v>
      </c>
      <c r="B824" s="82">
        <v>1</v>
      </c>
      <c r="C824" s="30" t="s">
        <v>18</v>
      </c>
      <c r="D824" s="9">
        <v>700</v>
      </c>
      <c r="E824" s="29" t="s">
        <v>11</v>
      </c>
      <c r="F824" s="83">
        <f>B824*D824</f>
        <v>700</v>
      </c>
      <c r="G824" s="9" t="s">
        <v>11</v>
      </c>
      <c r="H824" s="29" t="s">
        <v>11</v>
      </c>
    </row>
    <row r="825" spans="1:8" s="4" customFormat="1" ht="12.75">
      <c r="A825" s="29" t="s">
        <v>68</v>
      </c>
      <c r="B825" s="91">
        <v>1.6500000000000001E-2</v>
      </c>
      <c r="C825" s="30" t="s">
        <v>69</v>
      </c>
      <c r="D825" s="9">
        <v>170000</v>
      </c>
      <c r="E825" s="29" t="s">
        <v>11</v>
      </c>
      <c r="F825" s="83"/>
      <c r="G825" s="9">
        <f>B825*D825</f>
        <v>2805</v>
      </c>
      <c r="H825" s="29" t="s">
        <v>11</v>
      </c>
    </row>
    <row r="826" spans="1:8" s="4" customFormat="1" ht="12.75">
      <c r="A826" s="76" t="s">
        <v>70</v>
      </c>
      <c r="B826" s="85">
        <f>ROUND((SUM(E826:H826)),0)</f>
        <v>8605</v>
      </c>
      <c r="C826" s="78" t="s">
        <v>71</v>
      </c>
      <c r="D826" s="86"/>
      <c r="E826" s="80">
        <f>SUM(E822:E825)</f>
        <v>0</v>
      </c>
      <c r="F826" s="80">
        <f>SUM(F822:F825)</f>
        <v>5800</v>
      </c>
      <c r="G826" s="80">
        <f>SUM(G822:G825)</f>
        <v>2805</v>
      </c>
      <c r="H826" s="80">
        <f>SUM(H822:H825)</f>
        <v>0</v>
      </c>
    </row>
    <row r="834" spans="1:8" s="204" customFormat="1" ht="12.75"/>
    <row r="835" spans="1:8" s="204" customFormat="1" ht="12.75"/>
    <row r="836" spans="1:8" s="204" customFormat="1" ht="12.75"/>
    <row r="837" spans="1:8" s="204" customFormat="1" ht="12.75"/>
    <row r="838" spans="1:8" s="204" customFormat="1" ht="12.75"/>
    <row r="839" spans="1:8" s="204" customFormat="1" ht="12.75">
      <c r="A839" s="122"/>
      <c r="B839" s="217"/>
      <c r="C839" s="124"/>
      <c r="D839" s="218"/>
      <c r="E839" s="126"/>
      <c r="F839" s="126"/>
      <c r="G839" s="126"/>
      <c r="H839" s="126"/>
    </row>
    <row r="857" spans="1:8" s="4" customFormat="1" ht="12.75">
      <c r="A857" s="63" t="s">
        <v>495</v>
      </c>
      <c r="B857" s="64"/>
      <c r="C857" s="65"/>
      <c r="D857" s="66"/>
      <c r="E857" s="64"/>
      <c r="F857" s="64"/>
      <c r="G857" s="64"/>
      <c r="H857" s="64"/>
    </row>
    <row r="858" spans="1:8" s="4" customFormat="1" ht="12.75">
      <c r="A858" s="63"/>
      <c r="B858" s="64"/>
      <c r="C858" s="65"/>
      <c r="D858" s="66"/>
      <c r="E858" s="68" t="s">
        <v>61</v>
      </c>
      <c r="F858" s="68" t="s">
        <v>62</v>
      </c>
      <c r="G858" s="68" t="s">
        <v>63</v>
      </c>
      <c r="H858" s="68" t="s">
        <v>64</v>
      </c>
    </row>
    <row r="859" spans="1:8" s="4" customFormat="1" ht="12.75">
      <c r="A859" s="29" t="s">
        <v>495</v>
      </c>
      <c r="B859" s="82">
        <v>4</v>
      </c>
      <c r="C859" s="30" t="s">
        <v>8</v>
      </c>
      <c r="D859" s="9">
        <v>140000</v>
      </c>
      <c r="E859" s="29" t="s">
        <v>11</v>
      </c>
      <c r="F859" s="88">
        <f>B859*D859</f>
        <v>560000</v>
      </c>
      <c r="G859" s="9" t="s">
        <v>11</v>
      </c>
      <c r="H859" s="29" t="s">
        <v>11</v>
      </c>
    </row>
    <row r="860" spans="1:8" s="4" customFormat="1" ht="12.75">
      <c r="A860" s="29" t="s">
        <v>375</v>
      </c>
      <c r="B860" s="82">
        <v>8</v>
      </c>
      <c r="C860" s="30" t="s">
        <v>8</v>
      </c>
      <c r="D860" s="9">
        <v>10000</v>
      </c>
      <c r="E860" s="29"/>
      <c r="F860" s="88">
        <f>+B860*D860</f>
        <v>80000</v>
      </c>
      <c r="G860" s="9"/>
      <c r="H860" s="29"/>
    </row>
    <row r="861" spans="1:8" s="4" customFormat="1" ht="12.75">
      <c r="A861" s="29" t="s">
        <v>376</v>
      </c>
      <c r="B861" s="82">
        <v>1</v>
      </c>
      <c r="C861" s="30" t="s">
        <v>8</v>
      </c>
      <c r="D861" s="9">
        <v>25000</v>
      </c>
      <c r="E861" s="29"/>
      <c r="F861" s="88">
        <f>+B861*D861</f>
        <v>25000</v>
      </c>
      <c r="G861" s="9"/>
      <c r="H861" s="29"/>
    </row>
    <row r="862" spans="1:8" s="4" customFormat="1" ht="12.75">
      <c r="A862" s="29" t="s">
        <v>68</v>
      </c>
      <c r="B862" s="84">
        <v>1</v>
      </c>
      <c r="C862" s="30" t="s">
        <v>69</v>
      </c>
      <c r="D862" s="9">
        <v>170000</v>
      </c>
      <c r="E862" s="29" t="s">
        <v>11</v>
      </c>
      <c r="F862" s="83"/>
      <c r="G862" s="9">
        <f>B862*D862</f>
        <v>170000</v>
      </c>
      <c r="H862" s="29" t="s">
        <v>11</v>
      </c>
    </row>
    <row r="863" spans="1:8" s="4" customFormat="1" ht="12.75">
      <c r="A863" s="76" t="s">
        <v>70</v>
      </c>
      <c r="B863" s="85">
        <f>ROUND((SUM(E863:H863)),0)</f>
        <v>835000</v>
      </c>
      <c r="C863" s="78" t="s">
        <v>83</v>
      </c>
      <c r="D863" s="86"/>
      <c r="E863" s="80">
        <f>SUM(E859:E862)</f>
        <v>0</v>
      </c>
      <c r="F863" s="80">
        <f>SUM(F859:F862)</f>
        <v>665000</v>
      </c>
      <c r="G863" s="80">
        <f>SUM(G859:G862)</f>
        <v>170000</v>
      </c>
      <c r="H863" s="80">
        <f>SUM(H859:H862)</f>
        <v>0</v>
      </c>
    </row>
    <row r="865" spans="1:8" s="4" customFormat="1" ht="12.75"/>
    <row r="866" spans="1:8" s="4" customFormat="1" ht="12.75"/>
    <row r="867" spans="1:8" s="4" customFormat="1" ht="12.75"/>
    <row r="868" spans="1:8" s="4" customFormat="1" ht="12.75"/>
    <row r="869" spans="1:8" s="4" customFormat="1" ht="12.75"/>
    <row r="870" spans="1:8" s="4" customFormat="1" ht="12.75"/>
    <row r="871" spans="1:8" s="4" customFormat="1" ht="12.75"/>
    <row r="873" spans="1:8" s="4" customFormat="1" ht="12.75">
      <c r="A873" s="63" t="s">
        <v>496</v>
      </c>
      <c r="B873" s="64"/>
      <c r="C873" s="65"/>
      <c r="D873" s="66"/>
      <c r="E873" s="64"/>
      <c r="F873" s="64"/>
      <c r="G873" s="64"/>
      <c r="H873" s="64"/>
    </row>
    <row r="874" spans="1:8" s="4" customFormat="1" ht="12.75">
      <c r="A874" s="63"/>
      <c r="B874" s="64"/>
      <c r="C874" s="65"/>
      <c r="D874" s="66"/>
      <c r="E874" s="68" t="s">
        <v>61</v>
      </c>
      <c r="F874" s="68" t="s">
        <v>62</v>
      </c>
      <c r="G874" s="68" t="s">
        <v>63</v>
      </c>
      <c r="H874" s="68" t="s">
        <v>64</v>
      </c>
    </row>
    <row r="875" spans="1:8" s="4" customFormat="1" ht="12.75">
      <c r="A875" s="29" t="s">
        <v>496</v>
      </c>
      <c r="B875" s="82">
        <v>4</v>
      </c>
      <c r="C875" s="30" t="s">
        <v>8</v>
      </c>
      <c r="D875" s="9">
        <v>125742</v>
      </c>
      <c r="E875" s="29" t="s">
        <v>11</v>
      </c>
      <c r="F875" s="88">
        <f>B875*D875</f>
        <v>502968</v>
      </c>
      <c r="G875" s="9" t="s">
        <v>11</v>
      </c>
      <c r="H875" s="29" t="s">
        <v>11</v>
      </c>
    </row>
    <row r="876" spans="1:8" s="4" customFormat="1" ht="12.75">
      <c r="A876" s="29" t="s">
        <v>375</v>
      </c>
      <c r="B876" s="82">
        <v>8</v>
      </c>
      <c r="C876" s="30" t="s">
        <v>8</v>
      </c>
      <c r="D876" s="9">
        <v>10000</v>
      </c>
      <c r="E876" s="29"/>
      <c r="F876" s="88">
        <f>B876*D876</f>
        <v>80000</v>
      </c>
      <c r="G876" s="9"/>
      <c r="H876" s="29"/>
    </row>
    <row r="877" spans="1:8" s="4" customFormat="1" ht="12.75">
      <c r="A877" s="29" t="s">
        <v>376</v>
      </c>
      <c r="B877" s="82">
        <v>1</v>
      </c>
      <c r="C877" s="30" t="s">
        <v>8</v>
      </c>
      <c r="D877" s="9">
        <v>25000</v>
      </c>
      <c r="E877" s="29"/>
      <c r="F877" s="88">
        <f>+B877*D877</f>
        <v>25000</v>
      </c>
      <c r="G877" s="9"/>
      <c r="H877" s="29"/>
    </row>
    <row r="878" spans="1:8" s="4" customFormat="1" ht="12.75">
      <c r="A878" s="29" t="s">
        <v>68</v>
      </c>
      <c r="B878" s="84">
        <v>1</v>
      </c>
      <c r="C878" s="30" t="s">
        <v>69</v>
      </c>
      <c r="D878" s="9">
        <v>170000</v>
      </c>
      <c r="E878" s="29" t="s">
        <v>11</v>
      </c>
      <c r="F878" s="83"/>
      <c r="G878" s="9">
        <f>B878*D878</f>
        <v>170000</v>
      </c>
      <c r="H878" s="29" t="s">
        <v>11</v>
      </c>
    </row>
    <row r="879" spans="1:8" s="4" customFormat="1" ht="12.75">
      <c r="A879" s="76" t="s">
        <v>70</v>
      </c>
      <c r="B879" s="85">
        <f>ROUND((SUM(E879:H879)),0)</f>
        <v>777968</v>
      </c>
      <c r="C879" s="78" t="s">
        <v>497</v>
      </c>
      <c r="D879" s="86"/>
      <c r="E879" s="80">
        <f>SUM(E875:E878)</f>
        <v>0</v>
      </c>
      <c r="F879" s="80">
        <f>SUM(F875:F878)</f>
        <v>607968</v>
      </c>
      <c r="G879" s="80">
        <f>SUM(G875:G878)</f>
        <v>170000</v>
      </c>
      <c r="H879" s="80">
        <f>SUM(H875:H878)</f>
        <v>0</v>
      </c>
    </row>
    <row r="881" spans="1:8" s="4" customFormat="1" ht="12.75">
      <c r="A881" s="63" t="s">
        <v>498</v>
      </c>
      <c r="B881" s="64"/>
      <c r="C881" s="65"/>
      <c r="D881" s="66"/>
      <c r="E881" s="64"/>
      <c r="F881" s="64"/>
      <c r="G881" s="64"/>
      <c r="H881" s="64"/>
    </row>
    <row r="882" spans="1:8" s="4" customFormat="1" ht="12.75">
      <c r="A882" s="63"/>
      <c r="B882" s="64"/>
      <c r="C882" s="65"/>
      <c r="D882" s="66"/>
      <c r="E882" s="68" t="s">
        <v>61</v>
      </c>
      <c r="F882" s="68" t="s">
        <v>62</v>
      </c>
      <c r="G882" s="68" t="s">
        <v>63</v>
      </c>
      <c r="H882" s="68" t="s">
        <v>64</v>
      </c>
    </row>
    <row r="883" spans="1:8" s="4" customFormat="1" ht="12.75">
      <c r="A883" s="29" t="s">
        <v>498</v>
      </c>
      <c r="B883" s="82">
        <v>1</v>
      </c>
      <c r="C883" s="30" t="s">
        <v>8</v>
      </c>
      <c r="D883" s="9">
        <v>660000</v>
      </c>
      <c r="E883" s="29" t="s">
        <v>11</v>
      </c>
      <c r="F883" s="83">
        <f>B883*D883</f>
        <v>660000</v>
      </c>
      <c r="G883" s="9" t="s">
        <v>11</v>
      </c>
      <c r="H883" s="29" t="s">
        <v>11</v>
      </c>
    </row>
    <row r="884" spans="1:8" s="4" customFormat="1" ht="12.75">
      <c r="A884" s="29" t="s">
        <v>499</v>
      </c>
      <c r="B884" s="82">
        <v>1</v>
      </c>
      <c r="C884" s="30"/>
      <c r="D884" s="9">
        <v>100000</v>
      </c>
      <c r="E884" s="29"/>
      <c r="F884" s="83"/>
      <c r="G884" s="9"/>
      <c r="H884" s="29">
        <f>+B884*D884</f>
        <v>100000</v>
      </c>
    </row>
    <row r="885" spans="1:8" s="4" customFormat="1" ht="12.75">
      <c r="A885" s="29" t="s">
        <v>68</v>
      </c>
      <c r="B885" s="89">
        <v>0.85</v>
      </c>
      <c r="C885" s="30" t="s">
        <v>69</v>
      </c>
      <c r="D885" s="9">
        <v>170000</v>
      </c>
      <c r="E885" s="29" t="s">
        <v>11</v>
      </c>
      <c r="F885" s="83"/>
      <c r="G885" s="9">
        <f>B885*D885</f>
        <v>144500</v>
      </c>
      <c r="H885" s="29" t="s">
        <v>11</v>
      </c>
    </row>
    <row r="886" spans="1:8" s="4" customFormat="1" ht="12.75">
      <c r="A886" s="76" t="s">
        <v>70</v>
      </c>
      <c r="B886" s="85">
        <f>ROUND((SUM(E886:H886)),0)</f>
        <v>904500</v>
      </c>
      <c r="C886" s="78" t="s">
        <v>73</v>
      </c>
      <c r="D886" s="86"/>
      <c r="E886" s="80">
        <f>SUM(E883:E885)</f>
        <v>0</v>
      </c>
      <c r="F886" s="80">
        <f>SUM(F883:F885)</f>
        <v>660000</v>
      </c>
      <c r="G886" s="80">
        <f>SUM(G883:G885)</f>
        <v>144500</v>
      </c>
      <c r="H886" s="80">
        <f>SUM(H883:H885)</f>
        <v>100000</v>
      </c>
    </row>
    <row r="887" spans="1:8" s="4" customFormat="1" ht="12.75">
      <c r="A887" s="64"/>
      <c r="B887" s="64"/>
      <c r="C887" s="65"/>
      <c r="D887" s="66"/>
      <c r="E887" s="64"/>
      <c r="F887" s="64"/>
      <c r="G887" s="64"/>
      <c r="H887" s="64"/>
    </row>
    <row r="888" spans="1:8" s="4" customFormat="1" ht="12.75">
      <c r="A888" s="63" t="s">
        <v>500</v>
      </c>
      <c r="B888" s="64"/>
      <c r="C888" s="65"/>
      <c r="D888" s="66"/>
      <c r="E888" s="64"/>
      <c r="F888" s="64"/>
      <c r="G888" s="64"/>
      <c r="H888" s="64"/>
    </row>
    <row r="889" spans="1:8" s="4" customFormat="1" ht="12.75">
      <c r="A889" s="63"/>
      <c r="B889" s="64"/>
      <c r="C889" s="65"/>
      <c r="D889" s="66"/>
      <c r="E889" s="68" t="s">
        <v>61</v>
      </c>
      <c r="F889" s="68" t="s">
        <v>62</v>
      </c>
      <c r="G889" s="68" t="s">
        <v>63</v>
      </c>
      <c r="H889" s="68" t="s">
        <v>64</v>
      </c>
    </row>
    <row r="890" spans="1:8" s="4" customFormat="1" ht="12.75">
      <c r="A890" s="29" t="s">
        <v>500</v>
      </c>
      <c r="B890" s="82">
        <v>1</v>
      </c>
      <c r="C890" s="30" t="s">
        <v>8</v>
      </c>
      <c r="D890" s="9">
        <v>200193</v>
      </c>
      <c r="E890" s="29" t="s">
        <v>11</v>
      </c>
      <c r="F890" s="83">
        <f>B890*D890</f>
        <v>200193</v>
      </c>
      <c r="G890" s="9" t="s">
        <v>11</v>
      </c>
      <c r="H890" s="29" t="s">
        <v>11</v>
      </c>
    </row>
    <row r="891" spans="1:8" s="4" customFormat="1" ht="12.75">
      <c r="A891" s="29" t="s">
        <v>102</v>
      </c>
      <c r="B891" s="82">
        <v>1</v>
      </c>
      <c r="C891" s="30" t="s">
        <v>75</v>
      </c>
      <c r="D891" s="9">
        <v>20000</v>
      </c>
      <c r="E891" s="29"/>
      <c r="F891" s="83">
        <f>B891*D891</f>
        <v>20000</v>
      </c>
      <c r="G891" s="9"/>
      <c r="H891" s="29"/>
    </row>
    <row r="892" spans="1:8" s="4" customFormat="1" ht="12.75">
      <c r="A892" s="29" t="s">
        <v>501</v>
      </c>
      <c r="B892" s="82">
        <v>1</v>
      </c>
      <c r="C892" s="30" t="s">
        <v>8</v>
      </c>
      <c r="D892" s="9">
        <v>50000</v>
      </c>
      <c r="E892" s="29"/>
      <c r="F892" s="83">
        <f>B892*D892</f>
        <v>50000</v>
      </c>
      <c r="G892" s="9"/>
      <c r="H892" s="29"/>
    </row>
    <row r="893" spans="1:8" s="4" customFormat="1" ht="12.75">
      <c r="A893" s="29" t="s">
        <v>68</v>
      </c>
      <c r="B893" s="89">
        <v>0.15</v>
      </c>
      <c r="C893" s="30" t="s">
        <v>69</v>
      </c>
      <c r="D893" s="9">
        <v>170000</v>
      </c>
      <c r="E893" s="29" t="s">
        <v>11</v>
      </c>
      <c r="F893" s="83"/>
      <c r="G893" s="9">
        <f>B893*D893</f>
        <v>25500</v>
      </c>
      <c r="H893" s="29" t="s">
        <v>11</v>
      </c>
    </row>
    <row r="894" spans="1:8" s="4" customFormat="1" ht="12.75">
      <c r="A894" s="76" t="s">
        <v>70</v>
      </c>
      <c r="B894" s="85">
        <f>ROUND((SUM(E894:H894)),0)</f>
        <v>295693</v>
      </c>
      <c r="C894" s="78" t="s">
        <v>71</v>
      </c>
      <c r="D894" s="86"/>
      <c r="E894" s="80">
        <f>SUM(E890:E893)</f>
        <v>0</v>
      </c>
      <c r="F894" s="80">
        <f>SUM(F890:F893)</f>
        <v>270193</v>
      </c>
      <c r="G894" s="80">
        <f>SUM(G890:G893)</f>
        <v>25500</v>
      </c>
      <c r="H894" s="80">
        <f>SUM(H890:H893)</f>
        <v>0</v>
      </c>
    </row>
    <row r="895" spans="1:8" s="4" customFormat="1" ht="12.75"/>
    <row r="896" spans="1:8" s="4" customFormat="1" ht="12.75">
      <c r="A896" s="63" t="s">
        <v>502</v>
      </c>
      <c r="B896" s="64"/>
      <c r="C896" s="65"/>
      <c r="D896" s="66"/>
      <c r="E896" s="64"/>
      <c r="F896" s="64"/>
      <c r="G896" s="64"/>
      <c r="H896" s="64"/>
    </row>
    <row r="897" spans="1:8" s="4" customFormat="1" ht="12.75">
      <c r="A897" s="63"/>
      <c r="B897" s="64"/>
      <c r="C897" s="65"/>
      <c r="D897" s="66"/>
      <c r="E897" s="68" t="s">
        <v>61</v>
      </c>
      <c r="F897" s="68" t="s">
        <v>62</v>
      </c>
      <c r="G897" s="68" t="s">
        <v>63</v>
      </c>
      <c r="H897" s="68" t="s">
        <v>64</v>
      </c>
    </row>
    <row r="898" spans="1:8" s="4" customFormat="1" ht="12.75">
      <c r="A898" s="29" t="s">
        <v>193</v>
      </c>
      <c r="B898" s="82">
        <v>3</v>
      </c>
      <c r="C898" s="30" t="s">
        <v>18</v>
      </c>
      <c r="D898" s="219">
        <v>1395</v>
      </c>
      <c r="E898" s="29"/>
      <c r="F898" s="83">
        <f>B898*D898</f>
        <v>4185</v>
      </c>
      <c r="G898" s="9"/>
      <c r="H898" s="29"/>
    </row>
    <row r="899" spans="1:8" s="4" customFormat="1" ht="12.75">
      <c r="A899" s="29" t="s">
        <v>197</v>
      </c>
      <c r="B899" s="82">
        <v>7</v>
      </c>
      <c r="C899" s="30" t="s">
        <v>66</v>
      </c>
      <c r="D899" s="29">
        <v>700</v>
      </c>
      <c r="E899" s="29" t="s">
        <v>11</v>
      </c>
      <c r="F899" s="83">
        <f>B899*D899</f>
        <v>4900</v>
      </c>
      <c r="G899" s="9" t="s">
        <v>11</v>
      </c>
      <c r="H899" s="29" t="s">
        <v>11</v>
      </c>
    </row>
    <row r="900" spans="1:8" s="4" customFormat="1" ht="12.75">
      <c r="A900" s="29" t="s">
        <v>503</v>
      </c>
      <c r="B900" s="82">
        <v>1</v>
      </c>
      <c r="C900" s="30" t="s">
        <v>75</v>
      </c>
      <c r="D900" s="29">
        <v>500</v>
      </c>
      <c r="E900" s="29" t="s">
        <v>11</v>
      </c>
      <c r="F900" s="83">
        <f>B900*D900</f>
        <v>500</v>
      </c>
      <c r="G900" s="9" t="s">
        <v>11</v>
      </c>
      <c r="H900" s="29" t="s">
        <v>11</v>
      </c>
    </row>
    <row r="901" spans="1:8" s="4" customFormat="1" ht="12.75">
      <c r="A901" s="29" t="s">
        <v>504</v>
      </c>
      <c r="B901" s="82">
        <v>1</v>
      </c>
      <c r="C901" s="30" t="s">
        <v>75</v>
      </c>
      <c r="D901" s="29">
        <v>500</v>
      </c>
      <c r="E901" s="29" t="s">
        <v>11</v>
      </c>
      <c r="F901" s="83">
        <f>B901*D901</f>
        <v>500</v>
      </c>
      <c r="G901" s="9" t="s">
        <v>11</v>
      </c>
      <c r="H901" s="29" t="s">
        <v>11</v>
      </c>
    </row>
    <row r="902" spans="1:8" s="4" customFormat="1" ht="12.75">
      <c r="A902" s="29" t="s">
        <v>68</v>
      </c>
      <c r="B902" s="96">
        <v>1.4999999999999999E-2</v>
      </c>
      <c r="C902" s="30" t="s">
        <v>69</v>
      </c>
      <c r="D902" s="9">
        <v>170000</v>
      </c>
      <c r="E902" s="29" t="s">
        <v>11</v>
      </c>
      <c r="F902" s="29" t="s">
        <v>11</v>
      </c>
      <c r="G902" s="9">
        <f>B902*D902</f>
        <v>2550</v>
      </c>
      <c r="H902" s="29" t="s">
        <v>11</v>
      </c>
    </row>
    <row r="903" spans="1:8" s="4" customFormat="1" ht="12.75">
      <c r="A903" s="76" t="s">
        <v>70</v>
      </c>
      <c r="B903" s="85">
        <f>ROUND((SUM(E903:H903)),0)</f>
        <v>12635</v>
      </c>
      <c r="C903" s="78" t="s">
        <v>73</v>
      </c>
      <c r="D903" s="86"/>
      <c r="E903" s="80">
        <f>SUM(E898:E902)</f>
        <v>0</v>
      </c>
      <c r="F903" s="80">
        <f>SUM(F898:F902)</f>
        <v>10085</v>
      </c>
      <c r="G903" s="80">
        <f>SUM(G898:G902)</f>
        <v>2550</v>
      </c>
      <c r="H903" s="80">
        <f>SUM(H898:H902)</f>
        <v>0</v>
      </c>
    </row>
    <row r="905" spans="1:8" s="4" customFormat="1" ht="12.75">
      <c r="A905" s="63" t="s">
        <v>505</v>
      </c>
      <c r="B905" s="64"/>
      <c r="C905" s="65"/>
      <c r="D905" s="66"/>
      <c r="E905" s="64"/>
      <c r="F905" s="64"/>
      <c r="G905" s="64"/>
      <c r="H905" s="64"/>
    </row>
    <row r="906" spans="1:8" s="4" customFormat="1" ht="12.75">
      <c r="A906" s="63"/>
      <c r="B906" s="64"/>
      <c r="C906" s="65"/>
      <c r="D906" s="66"/>
      <c r="E906" s="68" t="s">
        <v>61</v>
      </c>
      <c r="F906" s="68" t="s">
        <v>62</v>
      </c>
      <c r="G906" s="68" t="s">
        <v>63</v>
      </c>
      <c r="H906" s="68" t="s">
        <v>64</v>
      </c>
    </row>
    <row r="907" spans="1:8" s="4" customFormat="1" ht="12.75">
      <c r="A907" s="29" t="s">
        <v>190</v>
      </c>
      <c r="B907" s="82">
        <v>3</v>
      </c>
      <c r="C907" s="30" t="s">
        <v>66</v>
      </c>
      <c r="D907" s="9">
        <v>2300</v>
      </c>
      <c r="E907" s="29" t="s">
        <v>11</v>
      </c>
      <c r="F907" s="83">
        <f>B907*D907</f>
        <v>6900</v>
      </c>
      <c r="G907" s="9" t="s">
        <v>11</v>
      </c>
      <c r="H907" s="29" t="s">
        <v>11</v>
      </c>
    </row>
    <row r="908" spans="1:8" s="4" customFormat="1" ht="12.75">
      <c r="A908" s="29" t="s">
        <v>193</v>
      </c>
      <c r="B908" s="82">
        <v>1</v>
      </c>
      <c r="C908" s="30" t="s">
        <v>18</v>
      </c>
      <c r="D908" s="219">
        <v>1395</v>
      </c>
      <c r="E908" s="29"/>
      <c r="F908" s="83">
        <f>B908*D908</f>
        <v>1395</v>
      </c>
      <c r="G908" s="9"/>
      <c r="H908" s="29"/>
    </row>
    <row r="909" spans="1:8" s="4" customFormat="1" ht="12.75">
      <c r="A909" s="29" t="s">
        <v>188</v>
      </c>
      <c r="B909" s="82">
        <v>1</v>
      </c>
      <c r="C909" s="30" t="s">
        <v>66</v>
      </c>
      <c r="D909" s="9">
        <v>1200</v>
      </c>
      <c r="E909" s="29" t="s">
        <v>11</v>
      </c>
      <c r="F909" s="83">
        <f>B909*D909</f>
        <v>1200</v>
      </c>
      <c r="G909" s="9" t="s">
        <v>11</v>
      </c>
      <c r="H909" s="29" t="s">
        <v>11</v>
      </c>
    </row>
    <row r="910" spans="1:8" s="4" customFormat="1" ht="12.75">
      <c r="A910" s="29" t="s">
        <v>68</v>
      </c>
      <c r="B910" s="91">
        <v>3.8199999999999998E-2</v>
      </c>
      <c r="C910" s="30" t="s">
        <v>69</v>
      </c>
      <c r="D910" s="9">
        <v>170000</v>
      </c>
      <c r="E910" s="29" t="s">
        <v>11</v>
      </c>
      <c r="F910" s="83"/>
      <c r="G910" s="9">
        <f>B910*D910</f>
        <v>6494</v>
      </c>
      <c r="H910" s="29" t="s">
        <v>11</v>
      </c>
    </row>
    <row r="911" spans="1:8" s="4" customFormat="1" ht="12.75">
      <c r="A911" s="76" t="s">
        <v>70</v>
      </c>
      <c r="B911" s="85">
        <f>ROUND((SUM(E911:H911)),0)</f>
        <v>15989</v>
      </c>
      <c r="C911" s="78" t="s">
        <v>71</v>
      </c>
      <c r="D911" s="86"/>
      <c r="E911" s="80">
        <f>SUM(E907:E910)</f>
        <v>0</v>
      </c>
      <c r="F911" s="80">
        <f>SUM(F907:F910)</f>
        <v>9495</v>
      </c>
      <c r="G911" s="80">
        <f>SUM(G907:G910)</f>
        <v>6494</v>
      </c>
      <c r="H911" s="80">
        <f>SUM(H907:H910)</f>
        <v>0</v>
      </c>
    </row>
    <row r="913" spans="1:8" s="4" customFormat="1" ht="12.75">
      <c r="A913" s="63" t="s">
        <v>506</v>
      </c>
      <c r="B913" s="64"/>
      <c r="C913" s="65"/>
      <c r="D913" s="66"/>
      <c r="E913" s="64"/>
      <c r="F913" s="64"/>
      <c r="G913" s="64"/>
      <c r="H913" s="64"/>
    </row>
    <row r="914" spans="1:8" s="4" customFormat="1" ht="12.75">
      <c r="A914" s="63"/>
      <c r="B914" s="64"/>
      <c r="C914" s="65"/>
      <c r="D914" s="66"/>
      <c r="E914" s="68" t="s">
        <v>61</v>
      </c>
      <c r="F914" s="68" t="s">
        <v>62</v>
      </c>
      <c r="G914" s="68" t="s">
        <v>63</v>
      </c>
      <c r="H914" s="68" t="s">
        <v>64</v>
      </c>
    </row>
    <row r="915" spans="1:8" s="4" customFormat="1" ht="12.75">
      <c r="A915" s="29" t="s">
        <v>224</v>
      </c>
      <c r="B915" s="82">
        <v>1</v>
      </c>
      <c r="C915" s="30" t="s">
        <v>49</v>
      </c>
      <c r="D915" s="9">
        <v>1200</v>
      </c>
      <c r="E915" s="29" t="s">
        <v>11</v>
      </c>
      <c r="F915" s="83">
        <f t="shared" ref="F915:F920" si="28">B915*D915</f>
        <v>1200</v>
      </c>
      <c r="G915" s="9" t="s">
        <v>11</v>
      </c>
      <c r="H915" s="29" t="s">
        <v>11</v>
      </c>
    </row>
    <row r="916" spans="1:8" s="4" customFormat="1" ht="12.75">
      <c r="A916" s="29" t="s">
        <v>323</v>
      </c>
      <c r="B916" s="82">
        <v>1</v>
      </c>
      <c r="C916" s="30" t="s">
        <v>8</v>
      </c>
      <c r="D916" s="9">
        <v>1300</v>
      </c>
      <c r="E916" s="29"/>
      <c r="F916" s="83">
        <f t="shared" si="28"/>
        <v>1300</v>
      </c>
      <c r="G916" s="9"/>
      <c r="H916" s="29"/>
    </row>
    <row r="917" spans="1:8" s="4" customFormat="1" ht="12.75">
      <c r="A917" s="29" t="s">
        <v>193</v>
      </c>
      <c r="B917" s="82">
        <v>30</v>
      </c>
      <c r="C917" s="30" t="s">
        <v>18</v>
      </c>
      <c r="D917" s="219">
        <v>1395</v>
      </c>
      <c r="E917" s="29"/>
      <c r="F917" s="83">
        <f>B917*D917</f>
        <v>41850</v>
      </c>
      <c r="G917" s="9"/>
      <c r="H917" s="29"/>
    </row>
    <row r="918" spans="1:8" s="4" customFormat="1" ht="12.75">
      <c r="A918" s="29" t="s">
        <v>197</v>
      </c>
      <c r="B918" s="82">
        <v>7</v>
      </c>
      <c r="C918" s="30" t="s">
        <v>66</v>
      </c>
      <c r="D918" s="29">
        <v>700</v>
      </c>
      <c r="E918" s="29" t="s">
        <v>11</v>
      </c>
      <c r="F918" s="83">
        <f t="shared" si="28"/>
        <v>4900</v>
      </c>
      <c r="G918" s="9" t="s">
        <v>11</v>
      </c>
      <c r="H918" s="29" t="s">
        <v>11</v>
      </c>
    </row>
    <row r="919" spans="1:8" s="4" customFormat="1" ht="12.75">
      <c r="A919" s="29" t="s">
        <v>225</v>
      </c>
      <c r="B919" s="82">
        <v>2</v>
      </c>
      <c r="C919" s="30" t="s">
        <v>49</v>
      </c>
      <c r="D919" s="29">
        <v>190</v>
      </c>
      <c r="E919" s="29" t="s">
        <v>11</v>
      </c>
      <c r="F919" s="83">
        <f t="shared" si="28"/>
        <v>380</v>
      </c>
      <c r="G919" s="9" t="s">
        <v>11</v>
      </c>
      <c r="H919" s="29" t="s">
        <v>11</v>
      </c>
    </row>
    <row r="920" spans="1:8" s="4" customFormat="1" ht="12.75">
      <c r="A920" s="29" t="s">
        <v>226</v>
      </c>
      <c r="B920" s="82">
        <v>3</v>
      </c>
      <c r="C920" s="30" t="s">
        <v>49</v>
      </c>
      <c r="D920" s="29">
        <v>850</v>
      </c>
      <c r="E920" s="29" t="s">
        <v>11</v>
      </c>
      <c r="F920" s="83">
        <f t="shared" si="28"/>
        <v>2550</v>
      </c>
      <c r="G920" s="9" t="s">
        <v>11</v>
      </c>
      <c r="H920" s="29" t="s">
        <v>11</v>
      </c>
    </row>
    <row r="921" spans="1:8" s="4" customFormat="1" ht="12.75">
      <c r="A921" s="29" t="s">
        <v>68</v>
      </c>
      <c r="B921" s="87">
        <v>0.129411</v>
      </c>
      <c r="C921" s="30" t="s">
        <v>69</v>
      </c>
      <c r="D921" s="9">
        <v>170000</v>
      </c>
      <c r="E921" s="29" t="s">
        <v>11</v>
      </c>
      <c r="F921" s="29" t="s">
        <v>11</v>
      </c>
      <c r="G921" s="9">
        <f>B921*D921</f>
        <v>21999.87</v>
      </c>
      <c r="H921" s="29" t="s">
        <v>11</v>
      </c>
    </row>
    <row r="922" spans="1:8" s="4" customFormat="1" ht="12.75">
      <c r="A922" s="76" t="s">
        <v>70</v>
      </c>
      <c r="B922" s="85">
        <f>ROUND((SUM(E922:H922)),0)</f>
        <v>74180</v>
      </c>
      <c r="C922" s="78" t="s">
        <v>73</v>
      </c>
      <c r="D922" s="86"/>
      <c r="E922" s="80">
        <f>SUM(E915:E921)</f>
        <v>0</v>
      </c>
      <c r="F922" s="80">
        <f>SUM(F915:F921)</f>
        <v>52180</v>
      </c>
      <c r="G922" s="80">
        <f>SUM(G915:G921)</f>
        <v>21999.87</v>
      </c>
      <c r="H922" s="80">
        <f>SUM(H915:H921)</f>
        <v>0</v>
      </c>
    </row>
    <row r="924" spans="1:8" s="4" customFormat="1" ht="12.75">
      <c r="A924" s="63" t="s">
        <v>507</v>
      </c>
      <c r="B924" s="64"/>
      <c r="C924" s="65"/>
      <c r="D924" s="66"/>
      <c r="E924" s="64"/>
      <c r="F924" s="64"/>
      <c r="G924" s="64"/>
      <c r="H924" s="64"/>
    </row>
    <row r="925" spans="1:8" s="4" customFormat="1" ht="12.75">
      <c r="A925" s="63"/>
      <c r="B925" s="64"/>
      <c r="C925" s="65"/>
      <c r="D925" s="66"/>
      <c r="E925" s="68" t="s">
        <v>61</v>
      </c>
      <c r="F925" s="68" t="s">
        <v>62</v>
      </c>
      <c r="G925" s="68" t="s">
        <v>63</v>
      </c>
      <c r="H925" s="68" t="s">
        <v>64</v>
      </c>
    </row>
    <row r="926" spans="1:8" s="4" customFormat="1" ht="12.75">
      <c r="A926" s="29" t="s">
        <v>193</v>
      </c>
      <c r="B926" s="82">
        <v>3</v>
      </c>
      <c r="C926" s="30" t="s">
        <v>18</v>
      </c>
      <c r="D926" s="219">
        <v>1395</v>
      </c>
      <c r="E926" s="29"/>
      <c r="F926" s="83">
        <f>B926*D926</f>
        <v>4185</v>
      </c>
      <c r="G926" s="9"/>
      <c r="H926" s="29"/>
    </row>
    <row r="927" spans="1:8" s="4" customFormat="1" ht="12.75">
      <c r="A927" s="29" t="s">
        <v>68</v>
      </c>
      <c r="B927" s="96">
        <v>0.01</v>
      </c>
      <c r="C927" s="30" t="s">
        <v>69</v>
      </c>
      <c r="D927" s="9">
        <v>170000</v>
      </c>
      <c r="E927" s="29" t="s">
        <v>11</v>
      </c>
      <c r="F927" s="29" t="s">
        <v>11</v>
      </c>
      <c r="G927" s="9">
        <f>B927*D927</f>
        <v>1700</v>
      </c>
      <c r="H927" s="29" t="s">
        <v>11</v>
      </c>
    </row>
    <row r="928" spans="1:8" s="4" customFormat="1" ht="12.75">
      <c r="A928" s="76" t="s">
        <v>70</v>
      </c>
      <c r="B928" s="85">
        <f>ROUND((SUM(E928:H928)),0)</f>
        <v>5885</v>
      </c>
      <c r="C928" s="78" t="s">
        <v>73</v>
      </c>
      <c r="D928" s="86"/>
      <c r="E928" s="80">
        <f>SUM(E926:E927)</f>
        <v>0</v>
      </c>
      <c r="F928" s="80">
        <f>SUM(F926:F927)</f>
        <v>4185</v>
      </c>
      <c r="G928" s="80">
        <f>SUM(G926:G927)</f>
        <v>1700</v>
      </c>
      <c r="H928" s="80">
        <f>SUM(H926:H927)</f>
        <v>0</v>
      </c>
    </row>
    <row r="930" spans="1:8" s="4" customFormat="1" ht="12.75">
      <c r="A930" s="63" t="s">
        <v>508</v>
      </c>
      <c r="B930" s="64"/>
      <c r="C930" s="65"/>
      <c r="D930" s="66"/>
      <c r="E930" s="64"/>
      <c r="F930" s="64"/>
      <c r="G930" s="64"/>
      <c r="H930" s="64"/>
    </row>
    <row r="931" spans="1:8" s="4" customFormat="1" ht="12.75">
      <c r="A931" s="63"/>
      <c r="B931" s="64"/>
      <c r="C931" s="65"/>
      <c r="D931" s="66"/>
      <c r="E931" s="68" t="s">
        <v>61</v>
      </c>
      <c r="F931" s="68" t="s">
        <v>62</v>
      </c>
      <c r="G931" s="68" t="s">
        <v>63</v>
      </c>
      <c r="H931" s="68" t="s">
        <v>64</v>
      </c>
    </row>
    <row r="932" spans="1:8" s="4" customFormat="1" ht="12.75">
      <c r="A932" s="29" t="s">
        <v>509</v>
      </c>
      <c r="B932" s="82">
        <v>2</v>
      </c>
      <c r="C932" s="30" t="s">
        <v>8</v>
      </c>
      <c r="D932" s="9">
        <v>120000</v>
      </c>
      <c r="E932" s="29" t="s">
        <v>11</v>
      </c>
      <c r="F932" s="83">
        <f>B932*D932</f>
        <v>240000</v>
      </c>
      <c r="G932" s="9" t="s">
        <v>11</v>
      </c>
      <c r="H932" s="29" t="s">
        <v>11</v>
      </c>
    </row>
    <row r="933" spans="1:8" s="4" customFormat="1" ht="12.75">
      <c r="A933" s="29" t="s">
        <v>510</v>
      </c>
      <c r="B933" s="82">
        <v>1</v>
      </c>
      <c r="C933" s="30" t="s">
        <v>8</v>
      </c>
      <c r="D933" s="9">
        <v>125000</v>
      </c>
      <c r="E933" s="29"/>
      <c r="F933" s="83">
        <f>B933*D933</f>
        <v>125000</v>
      </c>
      <c r="G933" s="9"/>
      <c r="H933" s="29"/>
    </row>
    <row r="934" spans="1:8" s="4" customFormat="1" ht="12.75">
      <c r="A934" s="29" t="s">
        <v>511</v>
      </c>
      <c r="B934" s="82">
        <v>1</v>
      </c>
      <c r="C934" s="30" t="s">
        <v>8</v>
      </c>
      <c r="D934" s="9">
        <v>55000</v>
      </c>
      <c r="E934" s="29"/>
      <c r="F934" s="83">
        <f>B934*D934</f>
        <v>55000</v>
      </c>
      <c r="G934" s="9"/>
      <c r="H934" s="29"/>
    </row>
    <row r="935" spans="1:8" s="4" customFormat="1" ht="12.75">
      <c r="A935" s="29" t="s">
        <v>512</v>
      </c>
      <c r="B935" s="82">
        <v>1</v>
      </c>
      <c r="C935" s="30" t="s">
        <v>8</v>
      </c>
      <c r="D935" s="9">
        <v>100000</v>
      </c>
      <c r="E935" s="29"/>
      <c r="F935" s="83">
        <f>B935*D935</f>
        <v>100000</v>
      </c>
      <c r="G935" s="9"/>
      <c r="H935" s="29"/>
    </row>
    <row r="936" spans="1:8" s="4" customFormat="1" ht="12.75">
      <c r="A936" s="29" t="s">
        <v>68</v>
      </c>
      <c r="B936" s="91">
        <v>0.22</v>
      </c>
      <c r="C936" s="30" t="s">
        <v>69</v>
      </c>
      <c r="D936" s="9">
        <v>170000</v>
      </c>
      <c r="E936" s="29" t="s">
        <v>11</v>
      </c>
      <c r="F936" s="83"/>
      <c r="G936" s="9">
        <f>B936*D936</f>
        <v>37400</v>
      </c>
      <c r="H936" s="29" t="s">
        <v>11</v>
      </c>
    </row>
    <row r="937" spans="1:8" s="4" customFormat="1" ht="12.75">
      <c r="A937" s="76" t="s">
        <v>70</v>
      </c>
      <c r="B937" s="85">
        <f>ROUND((SUM(E937:H937)),0)</f>
        <v>557400</v>
      </c>
      <c r="C937" s="78" t="s">
        <v>73</v>
      </c>
      <c r="D937" s="86"/>
      <c r="E937" s="80">
        <f>SUM(E932:E936)</f>
        <v>0</v>
      </c>
      <c r="F937" s="80">
        <f>SUM(F932:F936)</f>
        <v>520000</v>
      </c>
      <c r="G937" s="80">
        <f>SUM(G932:G936)</f>
        <v>37400</v>
      </c>
      <c r="H937" s="80">
        <f>SUM(H932:H936)</f>
        <v>0</v>
      </c>
    </row>
    <row r="939" spans="1:8" s="4" customFormat="1" ht="12.75">
      <c r="A939" s="63" t="s">
        <v>513</v>
      </c>
      <c r="B939" s="64"/>
      <c r="C939" s="65"/>
      <c r="D939" s="66"/>
      <c r="E939" s="64"/>
      <c r="F939" s="64"/>
      <c r="G939" s="64"/>
      <c r="H939" s="64"/>
    </row>
    <row r="940" spans="1:8" s="4" customFormat="1" ht="12.75">
      <c r="A940" s="63"/>
      <c r="B940" s="64"/>
      <c r="C940" s="65"/>
      <c r="D940" s="66"/>
      <c r="E940" s="68" t="s">
        <v>61</v>
      </c>
      <c r="F940" s="68" t="s">
        <v>62</v>
      </c>
      <c r="G940" s="68" t="s">
        <v>63</v>
      </c>
      <c r="H940" s="68" t="s">
        <v>64</v>
      </c>
    </row>
    <row r="941" spans="1:8" s="4" customFormat="1" ht="12.75">
      <c r="A941" s="29" t="s">
        <v>514</v>
      </c>
      <c r="B941" s="82">
        <v>1</v>
      </c>
      <c r="C941" s="30" t="s">
        <v>8</v>
      </c>
      <c r="D941" s="9">
        <v>300000</v>
      </c>
      <c r="E941" s="29" t="s">
        <v>11</v>
      </c>
      <c r="F941" s="83">
        <f>B941*D941</f>
        <v>300000</v>
      </c>
      <c r="G941" s="9" t="s">
        <v>11</v>
      </c>
      <c r="H941" s="29" t="s">
        <v>11</v>
      </c>
    </row>
    <row r="942" spans="1:8" s="4" customFormat="1" ht="12.75">
      <c r="A942" s="29" t="s">
        <v>68</v>
      </c>
      <c r="B942" s="84">
        <v>0.5</v>
      </c>
      <c r="C942" s="30" t="s">
        <v>69</v>
      </c>
      <c r="D942" s="9">
        <v>170000</v>
      </c>
      <c r="E942" s="29" t="s">
        <v>11</v>
      </c>
      <c r="F942" s="83"/>
      <c r="G942" s="9">
        <f>B942*D942</f>
        <v>85000</v>
      </c>
      <c r="H942" s="80"/>
    </row>
    <row r="943" spans="1:8" s="4" customFormat="1" ht="12.75">
      <c r="A943" s="76" t="s">
        <v>70</v>
      </c>
      <c r="B943" s="85">
        <f>ROUND((SUM(E943:H943)),0)</f>
        <v>385000</v>
      </c>
      <c r="C943" s="78" t="s">
        <v>73</v>
      </c>
      <c r="D943" s="86"/>
      <c r="E943" s="80">
        <f>SUM(E941:E942)</f>
        <v>0</v>
      </c>
      <c r="F943" s="80">
        <f>SUM(F941:F942)</f>
        <v>300000</v>
      </c>
      <c r="G943" s="80">
        <f>SUM(G941:G942)</f>
        <v>85000</v>
      </c>
      <c r="H943" s="80">
        <f>SUM(H941:H942)</f>
        <v>0</v>
      </c>
    </row>
    <row r="945" spans="1:8" s="4" customFormat="1" ht="12.75">
      <c r="A945" s="63" t="s">
        <v>515</v>
      </c>
      <c r="B945" s="64"/>
      <c r="C945" s="65"/>
      <c r="D945" s="66"/>
      <c r="E945" s="64"/>
      <c r="F945" s="64"/>
      <c r="G945" s="64"/>
      <c r="H945" s="64"/>
    </row>
    <row r="946" spans="1:8" s="4" customFormat="1" ht="12.75">
      <c r="A946" s="63"/>
      <c r="B946" s="64"/>
      <c r="C946" s="65"/>
      <c r="D946" s="66"/>
      <c r="E946" s="68" t="s">
        <v>61</v>
      </c>
      <c r="F946" s="68" t="s">
        <v>62</v>
      </c>
      <c r="G946" s="68" t="s">
        <v>63</v>
      </c>
      <c r="H946" s="68" t="s">
        <v>64</v>
      </c>
    </row>
    <row r="947" spans="1:8" s="4" customFormat="1" ht="12.75">
      <c r="A947" s="29" t="s">
        <v>261</v>
      </c>
      <c r="B947" s="82">
        <v>6</v>
      </c>
      <c r="C947" s="30" t="s">
        <v>66</v>
      </c>
      <c r="D947" s="9">
        <v>2900</v>
      </c>
      <c r="E947" s="29" t="s">
        <v>11</v>
      </c>
      <c r="F947" s="83">
        <f>B947*D947</f>
        <v>17400</v>
      </c>
      <c r="G947" s="9" t="s">
        <v>11</v>
      </c>
      <c r="H947" s="29" t="s">
        <v>11</v>
      </c>
    </row>
    <row r="948" spans="1:8" s="4" customFormat="1" ht="12.75">
      <c r="A948" s="29" t="s">
        <v>126</v>
      </c>
      <c r="B948" s="82">
        <v>1</v>
      </c>
      <c r="C948" s="30" t="s">
        <v>75</v>
      </c>
      <c r="D948" s="9">
        <v>1000</v>
      </c>
      <c r="E948" s="29" t="s">
        <v>11</v>
      </c>
      <c r="F948" s="83">
        <f>B948*D948</f>
        <v>1000</v>
      </c>
      <c r="G948" s="9" t="s">
        <v>11</v>
      </c>
      <c r="H948" s="29" t="s">
        <v>11</v>
      </c>
    </row>
    <row r="949" spans="1:8" s="4" customFormat="1" ht="12.75">
      <c r="A949" s="29" t="s">
        <v>68</v>
      </c>
      <c r="B949" s="87">
        <v>0.03</v>
      </c>
      <c r="C949" s="30" t="s">
        <v>69</v>
      </c>
      <c r="D949" s="9">
        <v>170000</v>
      </c>
      <c r="E949" s="29" t="s">
        <v>11</v>
      </c>
      <c r="F949" s="83"/>
      <c r="G949" s="9">
        <f>B949*D949</f>
        <v>5100</v>
      </c>
      <c r="H949" s="29" t="s">
        <v>11</v>
      </c>
    </row>
    <row r="950" spans="1:8" s="4" customFormat="1" ht="12.75">
      <c r="A950" s="76" t="s">
        <v>70</v>
      </c>
      <c r="B950" s="85">
        <f>ROUND((SUM(E950:H950)),0)</f>
        <v>23500</v>
      </c>
      <c r="C950" s="78" t="s">
        <v>71</v>
      </c>
      <c r="D950" s="86"/>
      <c r="E950" s="80">
        <f>SUM(E947:E949)</f>
        <v>0</v>
      </c>
      <c r="F950" s="80">
        <f>SUM(F947:F949)</f>
        <v>18400</v>
      </c>
      <c r="G950" s="80">
        <f>SUM(G947:G949)</f>
        <v>5100</v>
      </c>
      <c r="H950" s="80">
        <f>SUM(H947:H949)</f>
        <v>0</v>
      </c>
    </row>
    <row r="952" spans="1:8" s="4" customFormat="1" ht="12.75">
      <c r="A952" s="63" t="s">
        <v>516</v>
      </c>
      <c r="B952" s="64"/>
      <c r="C952" s="65"/>
      <c r="D952" s="66"/>
      <c r="E952" s="64"/>
      <c r="F952" s="64"/>
      <c r="G952" s="64"/>
      <c r="H952" s="64"/>
    </row>
    <row r="953" spans="1:8" s="4" customFormat="1" ht="12.75">
      <c r="A953" s="63"/>
      <c r="B953" s="64"/>
      <c r="C953" s="65"/>
      <c r="D953" s="66"/>
      <c r="E953" s="68" t="s">
        <v>61</v>
      </c>
      <c r="F953" s="68" t="s">
        <v>62</v>
      </c>
      <c r="G953" s="68" t="s">
        <v>63</v>
      </c>
      <c r="H953" s="68" t="s">
        <v>64</v>
      </c>
    </row>
    <row r="954" spans="1:8" s="4" customFormat="1" ht="12.75">
      <c r="A954" s="29" t="s">
        <v>516</v>
      </c>
      <c r="B954" s="82">
        <v>1</v>
      </c>
      <c r="C954" s="30" t="s">
        <v>8</v>
      </c>
      <c r="D954" s="9">
        <v>100000</v>
      </c>
      <c r="E954" s="29" t="s">
        <v>11</v>
      </c>
      <c r="F954" s="83">
        <f>B954*D954</f>
        <v>100000</v>
      </c>
      <c r="G954" s="9" t="s">
        <v>11</v>
      </c>
      <c r="H954" s="29" t="s">
        <v>11</v>
      </c>
    </row>
    <row r="955" spans="1:8" s="4" customFormat="1" ht="12.75">
      <c r="A955" s="29" t="s">
        <v>68</v>
      </c>
      <c r="B955" s="84">
        <v>0.3</v>
      </c>
      <c r="C955" s="30" t="s">
        <v>69</v>
      </c>
      <c r="D955" s="9">
        <v>170000</v>
      </c>
      <c r="E955" s="29" t="s">
        <v>11</v>
      </c>
      <c r="F955" s="83"/>
      <c r="G955" s="9">
        <f>B955*D955</f>
        <v>51000</v>
      </c>
      <c r="H955" s="29" t="s">
        <v>11</v>
      </c>
    </row>
    <row r="956" spans="1:8" s="4" customFormat="1" ht="12.75">
      <c r="A956" s="76" t="s">
        <v>70</v>
      </c>
      <c r="B956" s="85">
        <f>ROUND((SUM(E956:H956)),0)</f>
        <v>151000</v>
      </c>
      <c r="C956" s="78" t="s">
        <v>73</v>
      </c>
      <c r="D956" s="86"/>
      <c r="E956" s="80">
        <f>SUM(E954:E955)</f>
        <v>0</v>
      </c>
      <c r="F956" s="80">
        <f>SUM(F954:F955)</f>
        <v>100000</v>
      </c>
      <c r="G956" s="80">
        <f>SUM(G954:G955)</f>
        <v>51000</v>
      </c>
      <c r="H956" s="80">
        <f>SUM(H954:H955)</f>
        <v>0</v>
      </c>
    </row>
    <row r="958" spans="1:8" s="4" customFormat="1" ht="12.75">
      <c r="A958" s="63" t="s">
        <v>517</v>
      </c>
      <c r="B958" s="64"/>
      <c r="C958" s="65"/>
      <c r="D958" s="66"/>
      <c r="E958" s="64"/>
      <c r="F958" s="64"/>
      <c r="G958" s="64"/>
      <c r="H958" s="64"/>
    </row>
    <row r="959" spans="1:8" s="4" customFormat="1" ht="12.75">
      <c r="A959" s="63"/>
      <c r="B959" s="64"/>
      <c r="C959" s="65"/>
      <c r="D959" s="66"/>
      <c r="E959" s="68" t="s">
        <v>61</v>
      </c>
      <c r="F959" s="68" t="s">
        <v>62</v>
      </c>
      <c r="G959" s="68" t="s">
        <v>63</v>
      </c>
      <c r="H959" s="68" t="s">
        <v>64</v>
      </c>
    </row>
    <row r="960" spans="1:8" s="4" customFormat="1" ht="12.75">
      <c r="A960" s="29" t="s">
        <v>188</v>
      </c>
      <c r="B960" s="82">
        <v>2</v>
      </c>
      <c r="C960" s="30" t="s">
        <v>66</v>
      </c>
      <c r="D960" s="9">
        <v>1200</v>
      </c>
      <c r="E960" s="29" t="s">
        <v>11</v>
      </c>
      <c r="F960" s="83">
        <f>B960*D960</f>
        <v>2400</v>
      </c>
      <c r="G960" s="9" t="s">
        <v>11</v>
      </c>
      <c r="H960" s="29" t="s">
        <v>11</v>
      </c>
    </row>
    <row r="961" spans="1:8" s="4" customFormat="1" ht="12.75">
      <c r="A961" s="29" t="s">
        <v>68</v>
      </c>
      <c r="B961" s="91">
        <v>0.01</v>
      </c>
      <c r="C961" s="30" t="s">
        <v>69</v>
      </c>
      <c r="D961" s="9">
        <v>170000</v>
      </c>
      <c r="E961" s="29" t="s">
        <v>11</v>
      </c>
      <c r="F961" s="83"/>
      <c r="G961" s="9">
        <f>B961*D961</f>
        <v>1700</v>
      </c>
      <c r="H961" s="29" t="s">
        <v>11</v>
      </c>
    </row>
    <row r="962" spans="1:8" s="4" customFormat="1" ht="12.75">
      <c r="A962" s="76" t="s">
        <v>70</v>
      </c>
      <c r="B962" s="85">
        <f>ROUND((SUM(E962:H962)),0)</f>
        <v>4100</v>
      </c>
      <c r="C962" s="78" t="s">
        <v>71</v>
      </c>
      <c r="D962" s="86"/>
      <c r="E962" s="80">
        <f>SUM(E960:E961)</f>
        <v>0</v>
      </c>
      <c r="F962" s="80">
        <f>SUM(F960:F961)</f>
        <v>2400</v>
      </c>
      <c r="G962" s="80">
        <f>SUM(G960:G961)</f>
        <v>1700</v>
      </c>
      <c r="H962" s="80">
        <f>SUM(H960:H961)</f>
        <v>0</v>
      </c>
    </row>
    <row r="964" spans="1:8" s="4" customFormat="1" ht="12.75">
      <c r="A964" s="63" t="s">
        <v>507</v>
      </c>
      <c r="B964" s="64"/>
      <c r="C964" s="65"/>
      <c r="D964" s="66"/>
      <c r="E964" s="64"/>
      <c r="F964" s="64"/>
      <c r="G964" s="64"/>
      <c r="H964" s="64"/>
    </row>
    <row r="965" spans="1:8" s="4" customFormat="1" ht="12.75">
      <c r="A965" s="63"/>
      <c r="B965" s="64"/>
      <c r="C965" s="65"/>
      <c r="D965" s="66"/>
      <c r="E965" s="68" t="s">
        <v>61</v>
      </c>
      <c r="F965" s="68" t="s">
        <v>62</v>
      </c>
      <c r="G965" s="68" t="s">
        <v>63</v>
      </c>
      <c r="H965" s="68" t="s">
        <v>64</v>
      </c>
    </row>
    <row r="966" spans="1:8" s="4" customFormat="1" ht="12.75">
      <c r="A966" s="29" t="s">
        <v>193</v>
      </c>
      <c r="B966" s="82">
        <v>3</v>
      </c>
      <c r="C966" s="30" t="s">
        <v>18</v>
      </c>
      <c r="D966" s="219">
        <v>1395</v>
      </c>
      <c r="E966" s="29"/>
      <c r="F966" s="83">
        <f>B966*D966</f>
        <v>4185</v>
      </c>
      <c r="G966" s="9"/>
      <c r="H966" s="29"/>
    </row>
    <row r="967" spans="1:8" s="4" customFormat="1" ht="12.75">
      <c r="A967" s="29" t="s">
        <v>68</v>
      </c>
      <c r="B967" s="96">
        <v>0.01</v>
      </c>
      <c r="C967" s="30" t="s">
        <v>69</v>
      </c>
      <c r="D967" s="9">
        <v>170000</v>
      </c>
      <c r="E967" s="29" t="s">
        <v>11</v>
      </c>
      <c r="F967" s="29" t="s">
        <v>11</v>
      </c>
      <c r="G967" s="9">
        <f>B967*D967</f>
        <v>1700</v>
      </c>
      <c r="H967" s="29" t="s">
        <v>11</v>
      </c>
    </row>
    <row r="968" spans="1:8" s="4" customFormat="1" ht="12.75">
      <c r="A968" s="76" t="s">
        <v>70</v>
      </c>
      <c r="B968" s="85">
        <f>ROUND((SUM(E968:H968)),0)</f>
        <v>5885</v>
      </c>
      <c r="C968" s="78" t="s">
        <v>73</v>
      </c>
      <c r="D968" s="86"/>
      <c r="E968" s="80">
        <f>SUM(E966:E967)</f>
        <v>0</v>
      </c>
      <c r="F968" s="80">
        <f>SUM(F966:F967)</f>
        <v>4185</v>
      </c>
      <c r="G968" s="80">
        <f>SUM(G966:G967)</f>
        <v>1700</v>
      </c>
      <c r="H968" s="80">
        <f>SUM(H966:H967)</f>
        <v>0</v>
      </c>
    </row>
    <row r="970" spans="1:8" s="4" customFormat="1" ht="12.75">
      <c r="A970" s="63" t="s">
        <v>518</v>
      </c>
      <c r="B970" s="64"/>
      <c r="C970" s="65"/>
      <c r="D970" s="66"/>
      <c r="E970" s="64"/>
      <c r="F970" s="64"/>
      <c r="G970" s="64"/>
      <c r="H970" s="64"/>
    </row>
    <row r="971" spans="1:8" s="4" customFormat="1" ht="12.75">
      <c r="A971" s="63"/>
      <c r="B971" s="64"/>
      <c r="C971" s="65"/>
      <c r="D971" s="66"/>
      <c r="E971" s="68" t="s">
        <v>61</v>
      </c>
      <c r="F971" s="68" t="s">
        <v>62</v>
      </c>
      <c r="G971" s="68" t="s">
        <v>63</v>
      </c>
      <c r="H971" s="68" t="s">
        <v>64</v>
      </c>
    </row>
    <row r="972" spans="1:8" s="35" customFormat="1" ht="25.5">
      <c r="A972" s="32" t="s">
        <v>519</v>
      </c>
      <c r="B972" s="220">
        <v>1</v>
      </c>
      <c r="C972" s="33" t="s">
        <v>8</v>
      </c>
      <c r="D972" s="43">
        <v>2200819</v>
      </c>
      <c r="E972" s="32" t="s">
        <v>11</v>
      </c>
      <c r="F972" s="221">
        <f t="shared" ref="F972:F977" si="29">B972*D972</f>
        <v>2200819</v>
      </c>
      <c r="G972" s="43" t="s">
        <v>11</v>
      </c>
      <c r="H972" s="32" t="s">
        <v>11</v>
      </c>
    </row>
    <row r="973" spans="1:8" s="4" customFormat="1" ht="12.75">
      <c r="A973" s="29" t="s">
        <v>520</v>
      </c>
      <c r="B973" s="82">
        <v>12</v>
      </c>
      <c r="C973" s="30" t="s">
        <v>8</v>
      </c>
      <c r="D973" s="9">
        <v>121927</v>
      </c>
      <c r="E973" s="29"/>
      <c r="F973" s="221">
        <f t="shared" si="29"/>
        <v>1463124</v>
      </c>
      <c r="G973" s="9"/>
      <c r="H973" s="29"/>
    </row>
    <row r="974" spans="1:8" s="4" customFormat="1" ht="12.75">
      <c r="A974" s="29" t="s">
        <v>521</v>
      </c>
      <c r="B974" s="82">
        <v>1</v>
      </c>
      <c r="C974" s="30" t="s">
        <v>8</v>
      </c>
      <c r="D974" s="9">
        <v>1235153</v>
      </c>
      <c r="E974" s="29"/>
      <c r="F974" s="221">
        <f t="shared" si="29"/>
        <v>1235153</v>
      </c>
      <c r="G974" s="9"/>
      <c r="H974" s="29"/>
    </row>
    <row r="975" spans="1:8" s="4" customFormat="1" ht="12.75">
      <c r="A975" s="29" t="s">
        <v>522</v>
      </c>
      <c r="B975" s="82">
        <v>1</v>
      </c>
      <c r="C975" s="30" t="s">
        <v>8</v>
      </c>
      <c r="D975" s="9">
        <v>140513</v>
      </c>
      <c r="E975" s="29"/>
      <c r="F975" s="221">
        <f t="shared" si="29"/>
        <v>140513</v>
      </c>
      <c r="G975" s="9"/>
      <c r="H975" s="29"/>
    </row>
    <row r="976" spans="1:8" s="4" customFormat="1" ht="12.75">
      <c r="A976" s="29" t="s">
        <v>523</v>
      </c>
      <c r="B976" s="82">
        <v>1</v>
      </c>
      <c r="C976" s="30" t="s">
        <v>8</v>
      </c>
      <c r="D976" s="9">
        <v>150904</v>
      </c>
      <c r="E976" s="29"/>
      <c r="F976" s="83">
        <f t="shared" si="29"/>
        <v>150904</v>
      </c>
      <c r="G976" s="9"/>
      <c r="H976" s="29"/>
    </row>
    <row r="977" spans="1:8" s="4" customFormat="1" ht="12.75">
      <c r="A977" s="29" t="s">
        <v>524</v>
      </c>
      <c r="B977" s="82">
        <v>6</v>
      </c>
      <c r="C977" s="30" t="s">
        <v>8</v>
      </c>
      <c r="D977" s="9">
        <v>70000</v>
      </c>
      <c r="E977" s="29"/>
      <c r="F977" s="83">
        <f t="shared" si="29"/>
        <v>420000</v>
      </c>
      <c r="G977" s="9"/>
      <c r="H977" s="29"/>
    </row>
    <row r="978" spans="1:8" s="4" customFormat="1" ht="12.75">
      <c r="A978" s="29" t="s">
        <v>68</v>
      </c>
      <c r="B978" s="135">
        <v>4.1176469999999998</v>
      </c>
      <c r="C978" s="30" t="s">
        <v>69</v>
      </c>
      <c r="D978" s="9">
        <v>170000</v>
      </c>
      <c r="E978" s="29" t="s">
        <v>11</v>
      </c>
      <c r="F978" s="83"/>
      <c r="G978" s="9">
        <f>B978*D978</f>
        <v>699999.99</v>
      </c>
      <c r="H978" s="29" t="s">
        <v>11</v>
      </c>
    </row>
    <row r="979" spans="1:8" s="4" customFormat="1" ht="12.75">
      <c r="A979" s="76" t="s">
        <v>70</v>
      </c>
      <c r="B979" s="85">
        <f>ROUND((SUM(E979:H979)),0)</f>
        <v>6310513</v>
      </c>
      <c r="C979" s="78" t="s">
        <v>73</v>
      </c>
      <c r="D979" s="86"/>
      <c r="E979" s="80">
        <f>SUM(E972:E978)</f>
        <v>0</v>
      </c>
      <c r="F979" s="80">
        <f>SUM(F972:F978)</f>
        <v>5610513</v>
      </c>
      <c r="G979" s="80">
        <f>SUM(G972:G978)</f>
        <v>699999.99</v>
      </c>
      <c r="H979" s="80">
        <f>SUM(H972:H978)</f>
        <v>0</v>
      </c>
    </row>
    <row r="981" spans="1:8" s="4" customFormat="1" ht="12.75">
      <c r="A981" s="63" t="s">
        <v>525</v>
      </c>
      <c r="B981" s="64"/>
      <c r="C981" s="65"/>
      <c r="D981" s="66"/>
      <c r="E981" s="64"/>
      <c r="F981" s="64"/>
      <c r="G981" s="64"/>
      <c r="H981" s="64"/>
    </row>
    <row r="982" spans="1:8" s="4" customFormat="1" ht="12.75">
      <c r="A982" s="63"/>
      <c r="B982" s="64"/>
      <c r="C982" s="65"/>
      <c r="D982" s="66"/>
      <c r="E982" s="68" t="s">
        <v>61</v>
      </c>
      <c r="F982" s="68" t="s">
        <v>62</v>
      </c>
      <c r="G982" s="68" t="s">
        <v>63</v>
      </c>
      <c r="H982" s="68" t="s">
        <v>64</v>
      </c>
    </row>
    <row r="983" spans="1:8" s="35" customFormat="1" ht="25.5">
      <c r="A983" s="32" t="s">
        <v>519</v>
      </c>
      <c r="B983" s="220">
        <v>1</v>
      </c>
      <c r="C983" s="33" t="s">
        <v>8</v>
      </c>
      <c r="D983" s="43">
        <v>2200819</v>
      </c>
      <c r="E983" s="32" t="s">
        <v>11</v>
      </c>
      <c r="F983" s="221">
        <f>B983*D983</f>
        <v>2200819</v>
      </c>
      <c r="G983" s="43" t="s">
        <v>11</v>
      </c>
      <c r="H983" s="32" t="s">
        <v>11</v>
      </c>
    </row>
    <row r="984" spans="1:8" s="4" customFormat="1" ht="12.75">
      <c r="A984" s="29" t="s">
        <v>526</v>
      </c>
      <c r="B984" s="89">
        <v>11.64</v>
      </c>
      <c r="C984" s="30" t="s">
        <v>8</v>
      </c>
      <c r="D984" s="9">
        <v>144735</v>
      </c>
      <c r="E984" s="29"/>
      <c r="F984" s="221">
        <f>B984*D984</f>
        <v>1684715.4000000001</v>
      </c>
      <c r="G984" s="9"/>
      <c r="H984" s="29"/>
    </row>
    <row r="985" spans="1:8" s="4" customFormat="1" ht="12.75">
      <c r="A985" s="29" t="s">
        <v>523</v>
      </c>
      <c r="B985" s="82">
        <v>1</v>
      </c>
      <c r="C985" s="30" t="s">
        <v>8</v>
      </c>
      <c r="D985" s="9">
        <v>150904</v>
      </c>
      <c r="E985" s="29"/>
      <c r="F985" s="83">
        <f>B985*D985</f>
        <v>150904</v>
      </c>
      <c r="G985" s="9"/>
      <c r="H985" s="29"/>
    </row>
    <row r="986" spans="1:8" s="4" customFormat="1" ht="12.75">
      <c r="A986" s="29" t="s">
        <v>68</v>
      </c>
      <c r="B986" s="135">
        <v>4.1176469999999998</v>
      </c>
      <c r="C986" s="30" t="s">
        <v>69</v>
      </c>
      <c r="D986" s="9">
        <v>170000</v>
      </c>
      <c r="E986" s="29" t="s">
        <v>11</v>
      </c>
      <c r="F986" s="83"/>
      <c r="G986" s="9">
        <f>B986*D986</f>
        <v>699999.99</v>
      </c>
      <c r="H986" s="29" t="s">
        <v>11</v>
      </c>
    </row>
    <row r="987" spans="1:8" s="4" customFormat="1" ht="12.75">
      <c r="A987" s="76" t="s">
        <v>70</v>
      </c>
      <c r="B987" s="85">
        <f>ROUND((SUM(E987:H987)),0)</f>
        <v>4736438</v>
      </c>
      <c r="C987" s="78" t="s">
        <v>73</v>
      </c>
      <c r="D987" s="86"/>
      <c r="E987" s="80">
        <f>SUM(E983:E986)</f>
        <v>0</v>
      </c>
      <c r="F987" s="80">
        <f>SUM(F983:F986)</f>
        <v>4036438.4000000004</v>
      </c>
      <c r="G987" s="80">
        <f>SUM(G983:G986)</f>
        <v>699999.99</v>
      </c>
      <c r="H987" s="80">
        <f>SUM(H983:H986)</f>
        <v>0</v>
      </c>
    </row>
    <row r="989" spans="1:8" s="4" customFormat="1" ht="12.75">
      <c r="A989" s="63" t="s">
        <v>527</v>
      </c>
      <c r="B989" s="64"/>
      <c r="C989" s="65"/>
      <c r="D989" s="66"/>
      <c r="E989" s="64"/>
      <c r="F989" s="64"/>
      <c r="G989" s="64"/>
      <c r="H989" s="64"/>
    </row>
    <row r="990" spans="1:8" s="4" customFormat="1" ht="12.75">
      <c r="A990" s="63"/>
      <c r="B990" s="64"/>
      <c r="C990" s="65"/>
      <c r="D990" s="66"/>
      <c r="E990" s="68" t="s">
        <v>61</v>
      </c>
      <c r="F990" s="68" t="s">
        <v>62</v>
      </c>
      <c r="G990" s="68" t="s">
        <v>63</v>
      </c>
      <c r="H990" s="68" t="s">
        <v>64</v>
      </c>
    </row>
    <row r="991" spans="1:8" s="35" customFormat="1" ht="25.5">
      <c r="A991" s="32" t="s">
        <v>519</v>
      </c>
      <c r="B991" s="220">
        <v>1</v>
      </c>
      <c r="C991" s="33" t="s">
        <v>8</v>
      </c>
      <c r="D991" s="43">
        <v>2200819</v>
      </c>
      <c r="E991" s="32" t="s">
        <v>11</v>
      </c>
      <c r="F991" s="221">
        <f>B991*D991</f>
        <v>2200819</v>
      </c>
      <c r="G991" s="43" t="s">
        <v>11</v>
      </c>
      <c r="H991" s="32" t="s">
        <v>11</v>
      </c>
    </row>
    <row r="992" spans="1:8" s="4" customFormat="1" ht="12.75">
      <c r="A992" s="29" t="s">
        <v>526</v>
      </c>
      <c r="B992" s="82">
        <v>10</v>
      </c>
      <c r="C992" s="30" t="s">
        <v>8</v>
      </c>
      <c r="D992" s="9">
        <v>144735</v>
      </c>
      <c r="E992" s="29"/>
      <c r="F992" s="221">
        <f>B992*D992</f>
        <v>1447350</v>
      </c>
      <c r="G992" s="9"/>
      <c r="H992" s="29"/>
    </row>
    <row r="993" spans="1:8" s="4" customFormat="1" ht="12.75">
      <c r="A993" s="29" t="s">
        <v>523</v>
      </c>
      <c r="B993" s="82">
        <v>1</v>
      </c>
      <c r="C993" s="30" t="s">
        <v>8</v>
      </c>
      <c r="D993" s="9">
        <v>150904</v>
      </c>
      <c r="E993" s="29"/>
      <c r="F993" s="83">
        <f>B993*D993</f>
        <v>150904</v>
      </c>
      <c r="G993" s="9"/>
      <c r="H993" s="29"/>
    </row>
    <row r="994" spans="1:8" s="4" customFormat="1" ht="12.75">
      <c r="A994" s="29" t="s">
        <v>68</v>
      </c>
      <c r="B994" s="135">
        <v>4.1176469999999998</v>
      </c>
      <c r="C994" s="30" t="s">
        <v>69</v>
      </c>
      <c r="D994" s="9">
        <v>170000</v>
      </c>
      <c r="E994" s="29" t="s">
        <v>11</v>
      </c>
      <c r="F994" s="83"/>
      <c r="G994" s="9">
        <f>B994*D994</f>
        <v>699999.99</v>
      </c>
      <c r="H994" s="29" t="s">
        <v>11</v>
      </c>
    </row>
    <row r="995" spans="1:8" s="4" customFormat="1" ht="12.75">
      <c r="A995" s="76" t="s">
        <v>70</v>
      </c>
      <c r="B995" s="85">
        <f>ROUND((SUM(E995:H995)),0)</f>
        <v>4499073</v>
      </c>
      <c r="C995" s="78" t="s">
        <v>73</v>
      </c>
      <c r="D995" s="86"/>
      <c r="E995" s="80">
        <f>SUM(E991:E994)</f>
        <v>0</v>
      </c>
      <c r="F995" s="80">
        <f>SUM(F991:F994)</f>
        <v>3799073</v>
      </c>
      <c r="G995" s="80">
        <f>SUM(G991:G994)</f>
        <v>699999.99</v>
      </c>
      <c r="H995" s="80">
        <f>SUM(H991:H994)</f>
        <v>0</v>
      </c>
    </row>
    <row r="997" spans="1:8" s="4" customFormat="1" ht="12.75">
      <c r="A997" s="63" t="s">
        <v>528</v>
      </c>
      <c r="B997" s="64"/>
      <c r="C997" s="65"/>
      <c r="D997" s="66"/>
      <c r="E997" s="64"/>
      <c r="F997" s="64"/>
      <c r="G997" s="64"/>
      <c r="H997" s="64"/>
    </row>
    <row r="998" spans="1:8" s="4" customFormat="1" ht="12.75">
      <c r="A998" s="63"/>
      <c r="B998" s="64"/>
      <c r="C998" s="65"/>
      <c r="D998" s="66"/>
      <c r="E998" s="68" t="s">
        <v>61</v>
      </c>
      <c r="F998" s="68" t="s">
        <v>62</v>
      </c>
      <c r="G998" s="68" t="s">
        <v>63</v>
      </c>
      <c r="H998" s="68" t="s">
        <v>64</v>
      </c>
    </row>
    <row r="999" spans="1:8" s="35" customFormat="1" ht="12.75">
      <c r="A999" s="32" t="s">
        <v>529</v>
      </c>
      <c r="B999" s="220">
        <v>1</v>
      </c>
      <c r="C999" s="33" t="s">
        <v>8</v>
      </c>
      <c r="D999" s="43">
        <v>58286</v>
      </c>
      <c r="E999" s="32" t="s">
        <v>11</v>
      </c>
      <c r="F999" s="221"/>
      <c r="G999" s="43">
        <f>+B999*D999</f>
        <v>58286</v>
      </c>
      <c r="H999" s="32" t="s">
        <v>11</v>
      </c>
    </row>
    <row r="1000" spans="1:8" s="4" customFormat="1" ht="12.75">
      <c r="A1000" s="29" t="s">
        <v>530</v>
      </c>
      <c r="B1000" s="82">
        <v>1</v>
      </c>
      <c r="C1000" s="30" t="s">
        <v>8</v>
      </c>
      <c r="D1000" s="9">
        <v>63144</v>
      </c>
      <c r="E1000" s="29"/>
      <c r="F1000" s="221"/>
      <c r="G1000" s="9">
        <f>+B1000*D1000</f>
        <v>63144</v>
      </c>
      <c r="H1000" s="29"/>
    </row>
    <row r="1001" spans="1:8" s="4" customFormat="1" ht="12.75">
      <c r="A1001" s="29" t="s">
        <v>531</v>
      </c>
      <c r="B1001" s="82">
        <v>1</v>
      </c>
      <c r="C1001" s="30" t="s">
        <v>8</v>
      </c>
      <c r="D1001" s="9">
        <v>56460</v>
      </c>
      <c r="E1001" s="29"/>
      <c r="F1001" s="83"/>
      <c r="G1001" s="9">
        <f>+B1001*D1001</f>
        <v>56460</v>
      </c>
      <c r="H1001" s="29"/>
    </row>
    <row r="1002" spans="1:8" s="4" customFormat="1" ht="12.75">
      <c r="A1002" s="76" t="s">
        <v>70</v>
      </c>
      <c r="B1002" s="85">
        <f>ROUND((SUM(E1002:H1002)),0)</f>
        <v>177890</v>
      </c>
      <c r="C1002" s="78" t="s">
        <v>73</v>
      </c>
      <c r="D1002" s="86"/>
      <c r="E1002" s="80">
        <f>SUM(E999:E1001)</f>
        <v>0</v>
      </c>
      <c r="F1002" s="80">
        <f>SUM(F999:F1001)</f>
        <v>0</v>
      </c>
      <c r="G1002" s="80">
        <f>SUM(G999:G1001)</f>
        <v>177890</v>
      </c>
      <c r="H1002" s="80">
        <f>SUM(H999:H1001)</f>
        <v>0</v>
      </c>
    </row>
    <row r="1004" spans="1:8" s="4" customFormat="1" ht="12.75"/>
    <row r="1005" spans="1:8" s="4" customFormat="1" ht="12.75"/>
    <row r="1006" spans="1:8" s="4" customFormat="1" ht="12.75"/>
    <row r="1007" spans="1:8" s="4" customFormat="1" ht="12.75"/>
    <row r="1008" spans="1:8" s="4" customFormat="1" ht="12.75"/>
    <row r="1009" spans="1:8" s="4" customFormat="1" ht="12.75"/>
    <row r="1011" spans="1:8" s="4" customFormat="1" ht="12.75">
      <c r="A1011" s="63" t="s">
        <v>532</v>
      </c>
      <c r="B1011" s="64"/>
      <c r="C1011" s="65"/>
      <c r="D1011" s="66"/>
      <c r="E1011" s="64"/>
      <c r="F1011" s="64"/>
      <c r="G1011" s="64"/>
      <c r="H1011" s="64"/>
    </row>
    <row r="1012" spans="1:8" s="4" customFormat="1" ht="12.75">
      <c r="A1012" s="63"/>
      <c r="B1012" s="64"/>
      <c r="C1012" s="65"/>
      <c r="D1012" s="66"/>
      <c r="E1012" s="68" t="s">
        <v>61</v>
      </c>
      <c r="F1012" s="68" t="s">
        <v>62</v>
      </c>
      <c r="G1012" s="68" t="s">
        <v>63</v>
      </c>
      <c r="H1012" s="68" t="s">
        <v>64</v>
      </c>
    </row>
    <row r="1013" spans="1:8" s="4" customFormat="1" ht="12.75">
      <c r="A1013" s="29" t="s">
        <v>532</v>
      </c>
      <c r="B1013" s="82">
        <v>1</v>
      </c>
      <c r="C1013" s="30" t="s">
        <v>49</v>
      </c>
      <c r="D1013" s="9">
        <v>180150</v>
      </c>
      <c r="E1013" s="29" t="s">
        <v>11</v>
      </c>
      <c r="F1013" s="83">
        <f>B1013*D1013</f>
        <v>180150</v>
      </c>
      <c r="G1013" s="9" t="s">
        <v>11</v>
      </c>
      <c r="H1013" s="29" t="s">
        <v>11</v>
      </c>
    </row>
    <row r="1014" spans="1:8" s="4" customFormat="1" ht="12.75">
      <c r="A1014" s="29" t="s">
        <v>68</v>
      </c>
      <c r="B1014" s="89">
        <v>0.45</v>
      </c>
      <c r="C1014" s="30" t="s">
        <v>69</v>
      </c>
      <c r="D1014" s="9">
        <v>170000</v>
      </c>
      <c r="E1014" s="29" t="s">
        <v>11</v>
      </c>
      <c r="F1014" s="29" t="s">
        <v>11</v>
      </c>
      <c r="G1014" s="9">
        <f>B1014*D1014</f>
        <v>76500</v>
      </c>
      <c r="H1014" s="29" t="s">
        <v>11</v>
      </c>
    </row>
    <row r="1015" spans="1:8" s="4" customFormat="1" ht="12.75">
      <c r="A1015" s="76" t="s">
        <v>70</v>
      </c>
      <c r="B1015" s="85">
        <f>ROUND((SUM(E1015:H1015)),0)</f>
        <v>256650</v>
      </c>
      <c r="C1015" s="78" t="s">
        <v>73</v>
      </c>
      <c r="D1015" s="86"/>
      <c r="E1015" s="80">
        <f>SUM(E1013:E1014)</f>
        <v>0</v>
      </c>
      <c r="F1015" s="80">
        <f>SUM(F1013:F1014)</f>
        <v>180150</v>
      </c>
      <c r="G1015" s="80">
        <f>SUM(G1013:G1014)</f>
        <v>76500</v>
      </c>
      <c r="H1015" s="80">
        <f>SUM(H1013:H1014)</f>
        <v>0</v>
      </c>
    </row>
    <row r="1016" spans="1:8" ht="15" customHeight="1"/>
    <row r="1017" spans="1:8" s="4" customFormat="1" ht="12.75">
      <c r="A1017" s="63" t="s">
        <v>72</v>
      </c>
      <c r="B1017" s="64"/>
      <c r="C1017" s="65"/>
      <c r="D1017" s="66"/>
      <c r="E1017" s="64"/>
      <c r="F1017" s="64"/>
      <c r="G1017" s="64"/>
      <c r="H1017" s="64"/>
    </row>
    <row r="1018" spans="1:8" s="4" customFormat="1" ht="12.75">
      <c r="A1018" s="63"/>
      <c r="B1018" s="64"/>
      <c r="C1018" s="65"/>
      <c r="D1018" s="66"/>
      <c r="E1018" s="68" t="s">
        <v>61</v>
      </c>
      <c r="F1018" s="68" t="s">
        <v>62</v>
      </c>
      <c r="G1018" s="68" t="s">
        <v>63</v>
      </c>
      <c r="H1018" s="68" t="s">
        <v>64</v>
      </c>
    </row>
    <row r="1019" spans="1:8" s="4" customFormat="1" ht="12.75">
      <c r="A1019" s="29" t="s">
        <v>72</v>
      </c>
      <c r="B1019" s="82">
        <v>1</v>
      </c>
      <c r="C1019" s="30" t="s">
        <v>49</v>
      </c>
      <c r="D1019" s="9">
        <v>85850</v>
      </c>
      <c r="E1019" s="29" t="s">
        <v>11</v>
      </c>
      <c r="F1019" s="83">
        <f>B1019*D1019</f>
        <v>85850</v>
      </c>
      <c r="G1019" s="9" t="s">
        <v>11</v>
      </c>
      <c r="H1019" s="29" t="s">
        <v>11</v>
      </c>
    </row>
    <row r="1020" spans="1:8" s="4" customFormat="1" ht="12.75">
      <c r="A1020" s="29" t="s">
        <v>68</v>
      </c>
      <c r="B1020" s="89">
        <v>0.2</v>
      </c>
      <c r="C1020" s="30" t="s">
        <v>69</v>
      </c>
      <c r="D1020" s="9">
        <v>170000</v>
      </c>
      <c r="E1020" s="29" t="s">
        <v>11</v>
      </c>
      <c r="F1020" s="29" t="s">
        <v>11</v>
      </c>
      <c r="G1020" s="9">
        <f>B1020*D1020</f>
        <v>34000</v>
      </c>
      <c r="H1020" s="29" t="s">
        <v>11</v>
      </c>
    </row>
    <row r="1021" spans="1:8" s="4" customFormat="1" ht="12.75">
      <c r="A1021" s="76" t="s">
        <v>70</v>
      </c>
      <c r="B1021" s="85">
        <f>ROUND((SUM(E1021:H1021)),0)</f>
        <v>119850</v>
      </c>
      <c r="C1021" s="78" t="s">
        <v>73</v>
      </c>
      <c r="D1021" s="86"/>
      <c r="E1021" s="80">
        <f>SUM(E1019:E1020)</f>
        <v>0</v>
      </c>
      <c r="F1021" s="80">
        <f>SUM(F1019:F1020)</f>
        <v>85850</v>
      </c>
      <c r="G1021" s="80">
        <f>SUM(G1019:G1020)</f>
        <v>34000</v>
      </c>
      <c r="H1021" s="80">
        <f>SUM(H1019:H1020)</f>
        <v>0</v>
      </c>
    </row>
    <row r="1023" spans="1:8">
      <c r="A1023" s="63" t="s">
        <v>533</v>
      </c>
      <c r="B1023" s="64"/>
      <c r="C1023" s="65"/>
      <c r="D1023" s="66"/>
      <c r="E1023" s="64"/>
      <c r="F1023" s="64"/>
      <c r="G1023" s="64"/>
      <c r="H1023" s="64"/>
    </row>
    <row r="1024" spans="1:8">
      <c r="A1024" s="63"/>
      <c r="B1024" s="64"/>
      <c r="C1024" s="65"/>
      <c r="D1024" s="66"/>
      <c r="E1024" s="68" t="s">
        <v>61</v>
      </c>
      <c r="F1024" s="68" t="s">
        <v>62</v>
      </c>
      <c r="G1024" s="68" t="s">
        <v>63</v>
      </c>
      <c r="H1024" s="68" t="s">
        <v>64</v>
      </c>
    </row>
    <row r="1025" spans="1:8">
      <c r="A1025" s="29" t="s">
        <v>101</v>
      </c>
      <c r="B1025" s="82">
        <v>4</v>
      </c>
      <c r="C1025" s="30" t="s">
        <v>66</v>
      </c>
      <c r="D1025" s="9">
        <v>4589</v>
      </c>
      <c r="E1025" s="29" t="s">
        <v>11</v>
      </c>
      <c r="F1025" s="83">
        <f>B1025*D1025</f>
        <v>18356</v>
      </c>
      <c r="G1025" s="9" t="s">
        <v>11</v>
      </c>
      <c r="H1025" s="29" t="s">
        <v>11</v>
      </c>
    </row>
    <row r="1026" spans="1:8">
      <c r="A1026" s="29" t="s">
        <v>314</v>
      </c>
      <c r="B1026" s="82">
        <v>1</v>
      </c>
      <c r="C1026" s="30" t="s">
        <v>66</v>
      </c>
      <c r="D1026" s="9">
        <v>2972</v>
      </c>
      <c r="E1026" s="29" t="s">
        <v>11</v>
      </c>
      <c r="F1026" s="83">
        <f>B1026*D1026</f>
        <v>2972</v>
      </c>
      <c r="G1026" s="9" t="s">
        <v>11</v>
      </c>
      <c r="H1026" s="29" t="s">
        <v>11</v>
      </c>
    </row>
    <row r="1027" spans="1:8">
      <c r="A1027" s="29" t="s">
        <v>315</v>
      </c>
      <c r="B1027" s="82">
        <v>1</v>
      </c>
      <c r="C1027" s="30" t="s">
        <v>66</v>
      </c>
      <c r="D1027" s="9">
        <v>2528</v>
      </c>
      <c r="E1027" s="29" t="s">
        <v>11</v>
      </c>
      <c r="F1027" s="83">
        <f>B1027*D1027</f>
        <v>2528</v>
      </c>
      <c r="G1027" s="9" t="s">
        <v>11</v>
      </c>
      <c r="H1027" s="29" t="s">
        <v>11</v>
      </c>
    </row>
    <row r="1028" spans="1:8">
      <c r="A1028" s="29" t="s">
        <v>68</v>
      </c>
      <c r="B1028" s="89">
        <v>0.05</v>
      </c>
      <c r="C1028" s="30" t="s">
        <v>69</v>
      </c>
      <c r="D1028" s="9">
        <v>170000</v>
      </c>
      <c r="E1028" s="29" t="s">
        <v>11</v>
      </c>
      <c r="F1028" s="83"/>
      <c r="G1028" s="9">
        <f>B1028*D1028</f>
        <v>8500</v>
      </c>
      <c r="H1028" s="29" t="s">
        <v>11</v>
      </c>
    </row>
    <row r="1029" spans="1:8">
      <c r="A1029" s="76" t="s">
        <v>70</v>
      </c>
      <c r="B1029" s="85">
        <f>ROUND((SUM(E1029:H1029)),0)</f>
        <v>32356</v>
      </c>
      <c r="C1029" s="78" t="s">
        <v>71</v>
      </c>
      <c r="D1029" s="86"/>
      <c r="E1029" s="80">
        <f>SUM(E1025:E1028)</f>
        <v>0</v>
      </c>
      <c r="F1029" s="80">
        <f>SUM(F1025:F1028)</f>
        <v>23856</v>
      </c>
      <c r="G1029" s="80">
        <f>SUM(G1025:G1028)</f>
        <v>8500</v>
      </c>
      <c r="H1029" s="80">
        <f>SUM(H1025:H1028)</f>
        <v>0</v>
      </c>
    </row>
    <row r="1031" spans="1:8">
      <c r="A1031" s="158" t="s">
        <v>534</v>
      </c>
      <c r="B1031" s="159"/>
      <c r="C1031" s="160"/>
      <c r="D1031" s="161"/>
      <c r="E1031" s="159"/>
      <c r="F1031" s="159"/>
      <c r="G1031" s="159"/>
      <c r="H1031" s="159"/>
    </row>
    <row r="1032" spans="1:8">
      <c r="A1032" s="158"/>
      <c r="B1032" s="159"/>
      <c r="C1032" s="160"/>
      <c r="D1032" s="161"/>
      <c r="E1032" s="162" t="s">
        <v>61</v>
      </c>
      <c r="F1032" s="162" t="s">
        <v>62</v>
      </c>
      <c r="G1032" s="162" t="s">
        <v>63</v>
      </c>
      <c r="H1032" s="162" t="s">
        <v>64</v>
      </c>
    </row>
    <row r="1033" spans="1:8">
      <c r="A1033" s="163" t="s">
        <v>149</v>
      </c>
      <c r="B1033" s="164">
        <v>4</v>
      </c>
      <c r="C1033" s="165" t="s">
        <v>66</v>
      </c>
      <c r="D1033" s="166">
        <v>9500</v>
      </c>
      <c r="E1033" s="163" t="s">
        <v>11</v>
      </c>
      <c r="F1033" s="167">
        <f>B1033*D1033</f>
        <v>38000</v>
      </c>
      <c r="G1033" s="166" t="s">
        <v>11</v>
      </c>
      <c r="H1033" s="163" t="s">
        <v>11</v>
      </c>
    </row>
    <row r="1034" spans="1:8">
      <c r="A1034" s="175" t="s">
        <v>282</v>
      </c>
      <c r="B1034" s="164">
        <v>2</v>
      </c>
      <c r="C1034" s="165" t="s">
        <v>66</v>
      </c>
      <c r="D1034" s="166">
        <v>3000</v>
      </c>
      <c r="E1034" s="163" t="s">
        <v>11</v>
      </c>
      <c r="F1034" s="167">
        <f>B1034*D1034</f>
        <v>6000</v>
      </c>
      <c r="G1034" s="166" t="s">
        <v>11</v>
      </c>
      <c r="H1034" s="163" t="s">
        <v>11</v>
      </c>
    </row>
    <row r="1035" spans="1:8">
      <c r="A1035" s="175" t="s">
        <v>68</v>
      </c>
      <c r="B1035" s="177">
        <v>8.8234999999999994E-2</v>
      </c>
      <c r="C1035" s="165" t="s">
        <v>69</v>
      </c>
      <c r="D1035" s="166">
        <v>170000</v>
      </c>
      <c r="E1035" s="163" t="s">
        <v>11</v>
      </c>
      <c r="F1035" s="163" t="s">
        <v>11</v>
      </c>
      <c r="G1035" s="166">
        <f>B1035*D1035</f>
        <v>14999.949999999999</v>
      </c>
      <c r="H1035" s="163" t="s">
        <v>11</v>
      </c>
    </row>
    <row r="1036" spans="1:8">
      <c r="A1036" s="170" t="s">
        <v>70</v>
      </c>
      <c r="B1036" s="171">
        <f>ROUND((SUM(E1036:H1036)),0)</f>
        <v>59000</v>
      </c>
      <c r="C1036" s="172" t="s">
        <v>71</v>
      </c>
      <c r="D1036" s="173"/>
      <c r="E1036" s="169">
        <f>SUM(E1033:E1035)</f>
        <v>0</v>
      </c>
      <c r="F1036" s="169">
        <f>SUM(F1033:F1035)</f>
        <v>44000</v>
      </c>
      <c r="G1036" s="169">
        <f>SUM(G1033:G1035)</f>
        <v>14999.949999999999</v>
      </c>
      <c r="H1036" s="169">
        <f>SUM(H1033:H1035)</f>
        <v>0</v>
      </c>
    </row>
    <row r="1038" spans="1:8">
      <c r="A1038" s="63" t="s">
        <v>535</v>
      </c>
      <c r="B1038" s="64"/>
      <c r="C1038" s="65"/>
      <c r="D1038" s="66"/>
      <c r="E1038" s="64"/>
      <c r="F1038" s="64"/>
      <c r="G1038" s="64"/>
      <c r="H1038" s="64"/>
    </row>
    <row r="1039" spans="1:8">
      <c r="A1039" s="63"/>
      <c r="B1039" s="64"/>
      <c r="C1039" s="65"/>
      <c r="D1039" s="66"/>
      <c r="E1039" s="68" t="s">
        <v>61</v>
      </c>
      <c r="F1039" s="68" t="s">
        <v>62</v>
      </c>
      <c r="G1039" s="68" t="s">
        <v>63</v>
      </c>
      <c r="H1039" s="68" t="s">
        <v>64</v>
      </c>
    </row>
    <row r="1040" spans="1:8">
      <c r="A1040" s="90" t="s">
        <v>185</v>
      </c>
      <c r="B1040" s="82">
        <v>4</v>
      </c>
      <c r="C1040" s="30" t="s">
        <v>66</v>
      </c>
      <c r="D1040" s="9">
        <v>5940</v>
      </c>
      <c r="E1040" s="29" t="s">
        <v>11</v>
      </c>
      <c r="F1040" s="83">
        <f>B1040*D1040</f>
        <v>23760</v>
      </c>
      <c r="G1040" s="9" t="s">
        <v>11</v>
      </c>
      <c r="H1040" s="29" t="s">
        <v>11</v>
      </c>
    </row>
    <row r="1041" spans="1:8">
      <c r="A1041" s="29" t="s">
        <v>318</v>
      </c>
      <c r="B1041" s="82">
        <v>1</v>
      </c>
      <c r="C1041" s="30" t="s">
        <v>66</v>
      </c>
      <c r="D1041" s="9">
        <v>3000</v>
      </c>
      <c r="E1041" s="29" t="s">
        <v>11</v>
      </c>
      <c r="F1041" s="83">
        <f>B1041*D1041</f>
        <v>3000</v>
      </c>
      <c r="G1041" s="9" t="s">
        <v>11</v>
      </c>
      <c r="H1041" s="29" t="s">
        <v>11</v>
      </c>
    </row>
    <row r="1042" spans="1:8">
      <c r="A1042" s="90" t="s">
        <v>68</v>
      </c>
      <c r="B1042" s="135">
        <v>5.8823E-2</v>
      </c>
      <c r="C1042" s="30" t="s">
        <v>69</v>
      </c>
      <c r="D1042" s="9">
        <v>170000</v>
      </c>
      <c r="E1042" s="29" t="s">
        <v>11</v>
      </c>
      <c r="F1042" s="29" t="s">
        <v>11</v>
      </c>
      <c r="G1042" s="9">
        <f>B1042*D1042</f>
        <v>9999.91</v>
      </c>
      <c r="H1042" s="29" t="s">
        <v>11</v>
      </c>
    </row>
    <row r="1043" spans="1:8">
      <c r="A1043" s="76" t="s">
        <v>70</v>
      </c>
      <c r="B1043" s="85">
        <f>ROUND((SUM(E1043:H1043)),0)</f>
        <v>36760</v>
      </c>
      <c r="C1043" s="78" t="s">
        <v>71</v>
      </c>
      <c r="D1043" s="86"/>
      <c r="E1043" s="80">
        <f>SUM(E1040:E1042)</f>
        <v>0</v>
      </c>
      <c r="F1043" s="80">
        <f>SUM(F1040:F1042)</f>
        <v>26760</v>
      </c>
      <c r="G1043" s="80">
        <f>SUM(G1040:G1042)</f>
        <v>9999.91</v>
      </c>
      <c r="H1043" s="80">
        <f>SUM(H1040:H1042)</f>
        <v>0</v>
      </c>
    </row>
    <row r="1045" spans="1:8">
      <c r="A1045" s="63" t="s">
        <v>536</v>
      </c>
      <c r="B1045" s="64"/>
      <c r="C1045" s="65"/>
      <c r="D1045" s="66"/>
      <c r="E1045" s="64"/>
      <c r="F1045" s="64"/>
      <c r="G1045" s="64"/>
      <c r="H1045" s="64"/>
    </row>
    <row r="1046" spans="1:8">
      <c r="A1046" s="63"/>
      <c r="B1046" s="64"/>
      <c r="C1046" s="65"/>
      <c r="D1046" s="66"/>
      <c r="E1046" s="68" t="s">
        <v>61</v>
      </c>
      <c r="F1046" s="68" t="s">
        <v>62</v>
      </c>
      <c r="G1046" s="68" t="s">
        <v>63</v>
      </c>
      <c r="H1046" s="68" t="s">
        <v>64</v>
      </c>
    </row>
    <row r="1047" spans="1:8">
      <c r="A1047" s="29" t="s">
        <v>314</v>
      </c>
      <c r="B1047" s="82">
        <v>4</v>
      </c>
      <c r="C1047" s="30" t="s">
        <v>66</v>
      </c>
      <c r="D1047" s="9">
        <v>2972</v>
      </c>
      <c r="E1047" s="29" t="s">
        <v>11</v>
      </c>
      <c r="F1047" s="83">
        <f>B1047*D1047</f>
        <v>11888</v>
      </c>
      <c r="G1047" s="9" t="s">
        <v>11</v>
      </c>
      <c r="H1047" s="29" t="s">
        <v>11</v>
      </c>
    </row>
    <row r="1048" spans="1:8">
      <c r="A1048" s="29" t="s">
        <v>320</v>
      </c>
      <c r="B1048" s="82">
        <v>1</v>
      </c>
      <c r="C1048" s="30" t="s">
        <v>18</v>
      </c>
      <c r="D1048" s="9">
        <v>1734</v>
      </c>
      <c r="E1048" s="29"/>
      <c r="F1048" s="83">
        <f>B1048*D1048</f>
        <v>1734</v>
      </c>
      <c r="G1048" s="9"/>
      <c r="H1048" s="29"/>
    </row>
    <row r="1049" spans="1:8">
      <c r="A1049" s="29" t="s">
        <v>315</v>
      </c>
      <c r="B1049" s="82">
        <v>1</v>
      </c>
      <c r="C1049" s="30" t="s">
        <v>66</v>
      </c>
      <c r="D1049" s="9">
        <v>2528</v>
      </c>
      <c r="E1049" s="29" t="s">
        <v>11</v>
      </c>
      <c r="F1049" s="83">
        <f>B1049*D1049</f>
        <v>2528</v>
      </c>
      <c r="G1049" s="9" t="s">
        <v>11</v>
      </c>
      <c r="H1049" s="29" t="s">
        <v>11</v>
      </c>
    </row>
    <row r="1050" spans="1:8">
      <c r="A1050" s="29" t="s">
        <v>68</v>
      </c>
      <c r="B1050" s="89">
        <v>3.8234999999999998E-2</v>
      </c>
      <c r="C1050" s="30" t="s">
        <v>69</v>
      </c>
      <c r="D1050" s="9">
        <v>170000</v>
      </c>
      <c r="E1050" s="29" t="s">
        <v>11</v>
      </c>
      <c r="F1050" s="83"/>
      <c r="G1050" s="9">
        <f>B1050*D1050</f>
        <v>6499.95</v>
      </c>
      <c r="H1050" s="29" t="s">
        <v>11</v>
      </c>
    </row>
    <row r="1051" spans="1:8">
      <c r="A1051" s="76" t="s">
        <v>70</v>
      </c>
      <c r="B1051" s="85">
        <f>ROUND((SUM(E1051:H1051)),0)</f>
        <v>22650</v>
      </c>
      <c r="C1051" s="78" t="s">
        <v>71</v>
      </c>
      <c r="D1051" s="86"/>
      <c r="E1051" s="80">
        <f>SUM(E1047:E1050)</f>
        <v>0</v>
      </c>
      <c r="F1051" s="80">
        <f>SUM(F1047:F1050)</f>
        <v>16150</v>
      </c>
      <c r="G1051" s="80">
        <f>SUM(G1047:G1050)</f>
        <v>6499.95</v>
      </c>
      <c r="H1051" s="80">
        <f>SUM(H1047:H1050)</f>
        <v>0</v>
      </c>
    </row>
    <row r="1053" spans="1:8">
      <c r="A1053" s="63" t="s">
        <v>537</v>
      </c>
      <c r="B1053" s="64"/>
      <c r="C1053" s="65"/>
      <c r="D1053" s="66"/>
      <c r="E1053" s="64"/>
      <c r="F1053" s="64"/>
      <c r="G1053" s="64"/>
      <c r="H1053" s="64"/>
    </row>
    <row r="1054" spans="1:8">
      <c r="A1054" s="63"/>
      <c r="B1054" s="64"/>
      <c r="C1054" s="65"/>
      <c r="D1054" s="66"/>
      <c r="E1054" s="68" t="s">
        <v>61</v>
      </c>
      <c r="F1054" s="68" t="s">
        <v>62</v>
      </c>
      <c r="G1054" s="68" t="s">
        <v>63</v>
      </c>
      <c r="H1054" s="68" t="s">
        <v>64</v>
      </c>
    </row>
    <row r="1055" spans="1:8">
      <c r="A1055" s="29" t="s">
        <v>416</v>
      </c>
      <c r="B1055" s="82">
        <v>1</v>
      </c>
      <c r="C1055" s="30" t="s">
        <v>66</v>
      </c>
      <c r="D1055" s="9">
        <v>14898</v>
      </c>
      <c r="E1055" s="29" t="s">
        <v>11</v>
      </c>
      <c r="F1055" s="83">
        <f>B1055*D1055</f>
        <v>14898</v>
      </c>
      <c r="G1055" s="9" t="s">
        <v>11</v>
      </c>
      <c r="H1055" s="29" t="s">
        <v>11</v>
      </c>
    </row>
    <row r="1056" spans="1:8">
      <c r="A1056" s="29" t="s">
        <v>417</v>
      </c>
      <c r="B1056" s="89">
        <v>0.33</v>
      </c>
      <c r="C1056" s="30" t="s">
        <v>8</v>
      </c>
      <c r="D1056" s="9">
        <v>4000</v>
      </c>
      <c r="E1056" s="29"/>
      <c r="F1056" s="83">
        <f>B1056*D1056</f>
        <v>1320</v>
      </c>
      <c r="G1056" s="9"/>
      <c r="H1056" s="29"/>
    </row>
    <row r="1057" spans="1:8">
      <c r="A1057" s="29" t="s">
        <v>418</v>
      </c>
      <c r="B1057" s="89">
        <v>0.17</v>
      </c>
      <c r="C1057" s="30" t="s">
        <v>8</v>
      </c>
      <c r="D1057" s="9">
        <v>4000</v>
      </c>
      <c r="E1057" s="29" t="s">
        <v>11</v>
      </c>
      <c r="F1057" s="83">
        <f>B1057*D1057</f>
        <v>680</v>
      </c>
      <c r="G1057" s="9" t="s">
        <v>11</v>
      </c>
      <c r="H1057" s="29" t="s">
        <v>11</v>
      </c>
    </row>
    <row r="1058" spans="1:8">
      <c r="A1058" s="29" t="s">
        <v>102</v>
      </c>
      <c r="B1058" s="82">
        <v>1</v>
      </c>
      <c r="C1058" s="30" t="s">
        <v>75</v>
      </c>
      <c r="D1058" s="9">
        <v>2000</v>
      </c>
      <c r="E1058" s="29"/>
      <c r="F1058" s="83">
        <f>B1058*D1058</f>
        <v>2000</v>
      </c>
      <c r="G1058" s="9"/>
      <c r="H1058" s="29"/>
    </row>
    <row r="1059" spans="1:8">
      <c r="A1059" s="29" t="s">
        <v>68</v>
      </c>
      <c r="B1059" s="135">
        <v>1.7646999999999999E-2</v>
      </c>
      <c r="C1059" s="30" t="s">
        <v>69</v>
      </c>
      <c r="D1059" s="9">
        <v>170000</v>
      </c>
      <c r="E1059" s="29" t="s">
        <v>11</v>
      </c>
      <c r="F1059" s="83"/>
      <c r="G1059" s="9">
        <f>B1059*D1059</f>
        <v>2999.99</v>
      </c>
      <c r="H1059" s="29" t="s">
        <v>11</v>
      </c>
    </row>
    <row r="1060" spans="1:8">
      <c r="A1060" s="76" t="s">
        <v>70</v>
      </c>
      <c r="B1060" s="85">
        <f>ROUND((SUM(E1060:H1060)),0)</f>
        <v>21898</v>
      </c>
      <c r="C1060" s="78" t="s">
        <v>71</v>
      </c>
      <c r="D1060" s="86"/>
      <c r="E1060" s="80">
        <f>SUM(E1055:E1059)</f>
        <v>0</v>
      </c>
      <c r="F1060" s="80">
        <f>SUM(F1055:F1059)</f>
        <v>18898</v>
      </c>
      <c r="G1060" s="80">
        <f>SUM(G1055:G1059)</f>
        <v>2999.99</v>
      </c>
      <c r="H1060" s="80">
        <f>SUM(H1055:H1059)</f>
        <v>0</v>
      </c>
    </row>
    <row r="1062" spans="1:8">
      <c r="A1062" s="63" t="s">
        <v>538</v>
      </c>
      <c r="B1062" s="64"/>
      <c r="C1062" s="65"/>
      <c r="D1062" s="66"/>
      <c r="E1062" s="64"/>
      <c r="F1062" s="64"/>
      <c r="G1062" s="64"/>
      <c r="H1062" s="64"/>
    </row>
    <row r="1063" spans="1:8">
      <c r="A1063" s="63"/>
      <c r="B1063" s="64"/>
      <c r="C1063" s="65"/>
      <c r="D1063" s="66"/>
      <c r="E1063" s="68" t="s">
        <v>61</v>
      </c>
      <c r="F1063" s="68" t="s">
        <v>62</v>
      </c>
      <c r="G1063" s="68" t="s">
        <v>63</v>
      </c>
      <c r="H1063" s="68" t="s">
        <v>64</v>
      </c>
    </row>
    <row r="1064" spans="1:8">
      <c r="A1064" s="222" t="s">
        <v>539</v>
      </c>
      <c r="B1064" s="223">
        <v>1</v>
      </c>
      <c r="C1064" s="224" t="s">
        <v>18</v>
      </c>
      <c r="D1064" s="219">
        <v>54790</v>
      </c>
      <c r="E1064" s="222" t="s">
        <v>11</v>
      </c>
      <c r="F1064" s="225">
        <f>+B1064*D1064</f>
        <v>54790</v>
      </c>
      <c r="G1064" s="219" t="s">
        <v>11</v>
      </c>
      <c r="H1064" s="222" t="s">
        <v>11</v>
      </c>
    </row>
    <row r="1065" spans="1:8">
      <c r="A1065" s="222" t="s">
        <v>540</v>
      </c>
      <c r="B1065" s="226">
        <v>0.66</v>
      </c>
      <c r="C1065" s="224" t="s">
        <v>8</v>
      </c>
      <c r="D1065" s="219">
        <v>5100</v>
      </c>
      <c r="E1065" s="222"/>
      <c r="F1065" s="225">
        <f>+B1065*D1065</f>
        <v>3366</v>
      </c>
      <c r="G1065" s="219"/>
      <c r="H1065" s="222"/>
    </row>
    <row r="1066" spans="1:8">
      <c r="A1066" s="222" t="s">
        <v>541</v>
      </c>
      <c r="B1066" s="226">
        <v>0.17</v>
      </c>
      <c r="C1066" s="224" t="s">
        <v>8</v>
      </c>
      <c r="D1066" s="219">
        <v>3746</v>
      </c>
      <c r="E1066" s="222"/>
      <c r="F1066" s="225">
        <f>+B1066*D1066</f>
        <v>636.82000000000005</v>
      </c>
      <c r="G1066" s="219"/>
      <c r="H1066" s="222"/>
    </row>
    <row r="1067" spans="1:8">
      <c r="A1067" s="222" t="s">
        <v>542</v>
      </c>
      <c r="B1067" s="223">
        <v>1</v>
      </c>
      <c r="C1067" s="224" t="s">
        <v>18</v>
      </c>
      <c r="D1067" s="219">
        <v>1895</v>
      </c>
      <c r="E1067" s="222"/>
      <c r="F1067" s="225">
        <f>+B1067*D1067</f>
        <v>1895</v>
      </c>
      <c r="G1067" s="219"/>
      <c r="H1067" s="222"/>
    </row>
    <row r="1068" spans="1:8">
      <c r="A1068" s="222" t="s">
        <v>68</v>
      </c>
      <c r="B1068" s="227">
        <v>8.8234999999999994E-2</v>
      </c>
      <c r="C1068" s="224" t="s">
        <v>69</v>
      </c>
      <c r="D1068" s="219">
        <v>170000</v>
      </c>
      <c r="E1068" s="222" t="s">
        <v>11</v>
      </c>
      <c r="F1068" s="222" t="s">
        <v>11</v>
      </c>
      <c r="G1068" s="219">
        <f>B1068*D1068</f>
        <v>14999.949999999999</v>
      </c>
      <c r="H1068" s="222" t="s">
        <v>11</v>
      </c>
    </row>
    <row r="1069" spans="1:8">
      <c r="A1069" s="76" t="s">
        <v>70</v>
      </c>
      <c r="B1069" s="228">
        <f>ROUND((SUM(E1069:H1069)),0)</f>
        <v>75688</v>
      </c>
      <c r="C1069" s="78" t="s">
        <v>71</v>
      </c>
      <c r="D1069" s="229"/>
      <c r="E1069" s="80">
        <f>SUM(E1064:E1068)</f>
        <v>0</v>
      </c>
      <c r="F1069" s="80">
        <f>SUM(F1064:F1068)</f>
        <v>60687.82</v>
      </c>
      <c r="G1069" s="80">
        <f>SUM(G1064:G1068)</f>
        <v>14999.949999999999</v>
      </c>
      <c r="H1069" s="80">
        <f>SUM(H1064:H1068)</f>
        <v>0</v>
      </c>
    </row>
    <row r="1071" spans="1:8">
      <c r="A1071" s="63" t="s">
        <v>242</v>
      </c>
      <c r="B1071" s="64"/>
      <c r="C1071" s="65"/>
      <c r="D1071" s="66"/>
      <c r="E1071" s="64"/>
      <c r="F1071" s="64"/>
      <c r="G1071" s="64"/>
      <c r="H1071" s="64"/>
    </row>
    <row r="1072" spans="1:8">
      <c r="A1072" s="63"/>
      <c r="B1072" s="64"/>
      <c r="C1072" s="65"/>
      <c r="D1072" s="66"/>
      <c r="E1072" s="68" t="s">
        <v>61</v>
      </c>
      <c r="F1072" s="68" t="s">
        <v>62</v>
      </c>
      <c r="G1072" s="68" t="s">
        <v>63</v>
      </c>
      <c r="H1072" s="68" t="s">
        <v>64</v>
      </c>
    </row>
    <row r="1073" spans="1:8">
      <c r="A1073" s="29" t="s">
        <v>232</v>
      </c>
      <c r="B1073" s="82">
        <v>1</v>
      </c>
      <c r="C1073" s="30" t="s">
        <v>49</v>
      </c>
      <c r="D1073" s="9">
        <v>1200</v>
      </c>
      <c r="E1073" s="29" t="s">
        <v>11</v>
      </c>
      <c r="F1073" s="83">
        <f t="shared" ref="F1073:F1078" si="30">B1073*D1073</f>
        <v>1200</v>
      </c>
      <c r="G1073" s="9" t="s">
        <v>11</v>
      </c>
      <c r="H1073" s="29" t="s">
        <v>11</v>
      </c>
    </row>
    <row r="1074" spans="1:8" s="4" customFormat="1" ht="12.75">
      <c r="A1074" s="163" t="s">
        <v>425</v>
      </c>
      <c r="B1074" s="164">
        <v>15</v>
      </c>
      <c r="C1074" s="165" t="s">
        <v>66</v>
      </c>
      <c r="D1074" s="166">
        <v>839</v>
      </c>
      <c r="E1074" s="163" t="s">
        <v>11</v>
      </c>
      <c r="F1074" s="167">
        <f t="shared" si="30"/>
        <v>12585</v>
      </c>
      <c r="G1074" s="166" t="s">
        <v>11</v>
      </c>
      <c r="H1074" s="163" t="s">
        <v>11</v>
      </c>
    </row>
    <row r="1075" spans="1:8" s="4" customFormat="1" ht="12.75">
      <c r="A1075" s="163" t="s">
        <v>423</v>
      </c>
      <c r="B1075" s="164">
        <v>5</v>
      </c>
      <c r="C1075" s="165" t="s">
        <v>66</v>
      </c>
      <c r="D1075" s="163">
        <v>1300</v>
      </c>
      <c r="E1075" s="163" t="s">
        <v>11</v>
      </c>
      <c r="F1075" s="167">
        <f t="shared" si="30"/>
        <v>6500</v>
      </c>
      <c r="G1075" s="166" t="s">
        <v>11</v>
      </c>
      <c r="H1075" s="163" t="s">
        <v>11</v>
      </c>
    </row>
    <row r="1076" spans="1:8">
      <c r="A1076" s="29" t="s">
        <v>225</v>
      </c>
      <c r="B1076" s="82">
        <v>2</v>
      </c>
      <c r="C1076" s="30" t="s">
        <v>49</v>
      </c>
      <c r="D1076" s="29">
        <v>190</v>
      </c>
      <c r="E1076" s="29" t="s">
        <v>11</v>
      </c>
      <c r="F1076" s="83">
        <f t="shared" si="30"/>
        <v>380</v>
      </c>
      <c r="G1076" s="9" t="s">
        <v>11</v>
      </c>
      <c r="H1076" s="29" t="s">
        <v>11</v>
      </c>
    </row>
    <row r="1077" spans="1:8">
      <c r="A1077" s="29" t="s">
        <v>226</v>
      </c>
      <c r="B1077" s="82">
        <v>3</v>
      </c>
      <c r="C1077" s="30" t="s">
        <v>49</v>
      </c>
      <c r="D1077" s="29">
        <v>850</v>
      </c>
      <c r="E1077" s="29" t="s">
        <v>11</v>
      </c>
      <c r="F1077" s="83">
        <f t="shared" si="30"/>
        <v>2550</v>
      </c>
      <c r="G1077" s="9" t="s">
        <v>11</v>
      </c>
      <c r="H1077" s="29" t="s">
        <v>11</v>
      </c>
    </row>
    <row r="1078" spans="1:8">
      <c r="A1078" s="29" t="s">
        <v>243</v>
      </c>
      <c r="B1078" s="82">
        <v>1</v>
      </c>
      <c r="C1078" s="30" t="s">
        <v>49</v>
      </c>
      <c r="D1078" s="9">
        <v>25000</v>
      </c>
      <c r="E1078" s="29" t="s">
        <v>11</v>
      </c>
      <c r="F1078" s="83">
        <f t="shared" si="30"/>
        <v>25000</v>
      </c>
      <c r="G1078" s="9" t="s">
        <v>11</v>
      </c>
      <c r="H1078" s="29" t="s">
        <v>11</v>
      </c>
    </row>
    <row r="1079" spans="1:8">
      <c r="A1079" s="29" t="s">
        <v>68</v>
      </c>
      <c r="B1079" s="87">
        <v>0.10589999999999999</v>
      </c>
      <c r="C1079" s="30" t="s">
        <v>69</v>
      </c>
      <c r="D1079" s="9">
        <v>170000</v>
      </c>
      <c r="E1079" s="29" t="s">
        <v>11</v>
      </c>
      <c r="F1079" s="29" t="s">
        <v>11</v>
      </c>
      <c r="G1079" s="9">
        <f>B1079*D1079</f>
        <v>18003</v>
      </c>
      <c r="H1079" s="29" t="s">
        <v>11</v>
      </c>
    </row>
    <row r="1080" spans="1:8">
      <c r="A1080" s="76" t="s">
        <v>70</v>
      </c>
      <c r="B1080" s="85">
        <f>ROUND((SUM(E1080:H1080)),0)</f>
        <v>66218</v>
      </c>
      <c r="C1080" s="78" t="s">
        <v>73</v>
      </c>
      <c r="D1080" s="86"/>
      <c r="E1080" s="80">
        <f>SUM(E1073:E1079)</f>
        <v>0</v>
      </c>
      <c r="F1080" s="80">
        <f>SUM(F1073:F1079)</f>
        <v>48215</v>
      </c>
      <c r="G1080" s="80">
        <f>SUM(G1073:G1079)</f>
        <v>18003</v>
      </c>
      <c r="H1080" s="80">
        <f>SUM(H1073:H1079)</f>
        <v>0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F37"/>
  <sheetViews>
    <sheetView topLeftCell="A15" zoomScaleNormal="100" workbookViewId="0">
      <selection activeCell="F37" sqref="F37"/>
    </sheetView>
  </sheetViews>
  <sheetFormatPr baseColWidth="10" defaultColWidth="8" defaultRowHeight="12.75" customHeight="1"/>
  <cols>
    <col min="1" max="1" width="6.25" style="45" customWidth="1"/>
    <col min="2" max="2" width="61.875" style="4" customWidth="1"/>
    <col min="3" max="3" width="7.5" style="45" customWidth="1"/>
    <col min="4" max="4" width="9.625" style="44" customWidth="1"/>
    <col min="5" max="5" width="11.875" style="4" customWidth="1"/>
    <col min="6" max="6" width="10.875" style="4" customWidth="1"/>
    <col min="7" max="7" width="36.625" style="4" customWidth="1"/>
    <col min="8" max="16384" width="8" style="4"/>
  </cols>
  <sheetData>
    <row r="1" spans="1:6" hidden="1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</row>
    <row r="2" spans="1:6" ht="12.75" hidden="1" customHeight="1">
      <c r="A2" s="5" t="s">
        <v>6</v>
      </c>
      <c r="B2" s="6" t="s">
        <v>7</v>
      </c>
      <c r="C2" s="7" t="s">
        <v>8</v>
      </c>
      <c r="D2" s="8">
        <v>0</v>
      </c>
      <c r="E2" s="8">
        <f>+'[1]UNITARIOS ELECTRICOS COTIZACION'!B25</f>
        <v>446200</v>
      </c>
      <c r="F2" s="9">
        <f>ROUND((D2*E2),0)</f>
        <v>0</v>
      </c>
    </row>
    <row r="3" spans="1:6" s="12" customFormat="1" hidden="1">
      <c r="A3" s="5" t="s">
        <v>9</v>
      </c>
      <c r="B3" s="10" t="s">
        <v>10</v>
      </c>
      <c r="C3" s="7" t="s">
        <v>8</v>
      </c>
      <c r="D3" s="11">
        <v>0</v>
      </c>
      <c r="E3" s="11">
        <f>+'[1]UNITARIOS ELECTRICOS COTIZACION'!B30</f>
        <v>480590</v>
      </c>
      <c r="F3" s="9">
        <f>ROUND((D3*E3),0)</f>
        <v>0</v>
      </c>
    </row>
    <row r="4" spans="1:6" ht="12.75" hidden="1" customHeight="1">
      <c r="A4" s="13" t="s">
        <v>11</v>
      </c>
      <c r="B4" s="14" t="s">
        <v>12</v>
      </c>
      <c r="C4" s="15" t="s">
        <v>11</v>
      </c>
      <c r="D4" s="16" t="s">
        <v>11</v>
      </c>
      <c r="E4" s="17" t="s">
        <v>11</v>
      </c>
      <c r="F4" s="18">
        <f>SUM(F2:F3)</f>
        <v>0</v>
      </c>
    </row>
    <row r="5" spans="1:6" s="12" customFormat="1" hidden="1">
      <c r="A5" s="19"/>
      <c r="B5" s="20"/>
      <c r="C5" s="21"/>
      <c r="D5" s="22"/>
      <c r="E5" s="22"/>
      <c r="F5" s="23"/>
    </row>
    <row r="6" spans="1:6">
      <c r="A6" s="24"/>
      <c r="B6" s="25" t="s">
        <v>545</v>
      </c>
      <c r="C6" s="24" t="s">
        <v>2</v>
      </c>
      <c r="D6" s="26" t="s">
        <v>3</v>
      </c>
      <c r="E6" s="24" t="s">
        <v>4</v>
      </c>
      <c r="F6" s="24" t="s">
        <v>5</v>
      </c>
    </row>
    <row r="7" spans="1:6">
      <c r="A7" s="232" t="s">
        <v>0</v>
      </c>
      <c r="B7" s="233" t="s">
        <v>576</v>
      </c>
      <c r="C7" s="232"/>
      <c r="D7" s="234"/>
      <c r="E7" s="232"/>
      <c r="F7" s="232"/>
    </row>
    <row r="8" spans="1:6">
      <c r="A8" s="27" t="s">
        <v>14</v>
      </c>
      <c r="B8" s="6" t="s">
        <v>546</v>
      </c>
      <c r="C8" s="27" t="s">
        <v>8</v>
      </c>
      <c r="D8" s="28">
        <v>1</v>
      </c>
      <c r="E8" s="28">
        <f>+'Unitarios provisionales'!B6</f>
        <v>950700</v>
      </c>
      <c r="F8" s="28">
        <f t="shared" ref="F8:F28" si="0">+D8*E8</f>
        <v>950700</v>
      </c>
    </row>
    <row r="9" spans="1:6">
      <c r="A9" s="27" t="s">
        <v>16</v>
      </c>
      <c r="B9" s="29" t="s">
        <v>547</v>
      </c>
      <c r="C9" s="30" t="s">
        <v>18</v>
      </c>
      <c r="D9" s="31">
        <v>35</v>
      </c>
      <c r="E9" s="31">
        <f>+'Unitarios provisionales'!B12</f>
        <v>28479</v>
      </c>
      <c r="F9" s="28">
        <f t="shared" si="0"/>
        <v>996765</v>
      </c>
    </row>
    <row r="10" spans="1:6">
      <c r="A10" s="27" t="s">
        <v>19</v>
      </c>
      <c r="B10" s="6" t="s">
        <v>548</v>
      </c>
      <c r="C10" s="27" t="s">
        <v>8</v>
      </c>
      <c r="D10" s="28">
        <v>4</v>
      </c>
      <c r="E10" s="28">
        <f>+'Unitarios provisionales'!B18</f>
        <v>12000</v>
      </c>
      <c r="F10" s="28">
        <f t="shared" si="0"/>
        <v>48000</v>
      </c>
    </row>
    <row r="11" spans="1:6">
      <c r="A11" s="27" t="s">
        <v>21</v>
      </c>
      <c r="B11" s="6" t="s">
        <v>549</v>
      </c>
      <c r="C11" s="27" t="s">
        <v>8</v>
      </c>
      <c r="D11" s="28">
        <v>2</v>
      </c>
      <c r="E11" s="28">
        <f>+'Unitarios provisionales'!B26</f>
        <v>20300</v>
      </c>
      <c r="F11" s="28">
        <f t="shared" si="0"/>
        <v>40600</v>
      </c>
    </row>
    <row r="12" spans="1:6">
      <c r="A12" s="27" t="s">
        <v>23</v>
      </c>
      <c r="B12" s="6" t="s">
        <v>550</v>
      </c>
      <c r="C12" s="27" t="s">
        <v>8</v>
      </c>
      <c r="D12" s="28">
        <v>1</v>
      </c>
      <c r="E12" s="28">
        <f>+'Unitarios provisionales'!B35</f>
        <v>38000</v>
      </c>
      <c r="F12" s="28">
        <f t="shared" si="0"/>
        <v>38000</v>
      </c>
    </row>
    <row r="13" spans="1:6">
      <c r="A13" s="27" t="s">
        <v>25</v>
      </c>
      <c r="B13" s="6" t="s">
        <v>551</v>
      </c>
      <c r="C13" s="27" t="s">
        <v>18</v>
      </c>
      <c r="D13" s="28">
        <v>8</v>
      </c>
      <c r="E13" s="28">
        <f>+'Unitarios provisionales'!B41</f>
        <v>31051</v>
      </c>
      <c r="F13" s="28">
        <f t="shared" si="0"/>
        <v>248408</v>
      </c>
    </row>
    <row r="14" spans="1:6">
      <c r="A14" s="27" t="s">
        <v>27</v>
      </c>
      <c r="B14" s="6" t="s">
        <v>588</v>
      </c>
      <c r="C14" s="27" t="s">
        <v>8</v>
      </c>
      <c r="D14" s="28">
        <v>1</v>
      </c>
      <c r="E14" s="28">
        <f>+'Unitarios provisionales'!B55</f>
        <v>599485</v>
      </c>
      <c r="F14" s="28">
        <f t="shared" si="0"/>
        <v>599485</v>
      </c>
    </row>
    <row r="15" spans="1:6">
      <c r="A15" s="27" t="s">
        <v>30</v>
      </c>
      <c r="B15" s="6" t="s">
        <v>552</v>
      </c>
      <c r="C15" s="27" t="s">
        <v>18</v>
      </c>
      <c r="D15" s="28">
        <v>16</v>
      </c>
      <c r="E15" s="28">
        <f>+'Unitarios provisionales'!B63</f>
        <v>34685</v>
      </c>
      <c r="F15" s="28">
        <f t="shared" si="0"/>
        <v>554960</v>
      </c>
    </row>
    <row r="16" spans="1:6">
      <c r="A16" s="239"/>
      <c r="B16" s="230" t="s">
        <v>577</v>
      </c>
      <c r="C16" s="239"/>
      <c r="D16" s="240"/>
      <c r="E16" s="240"/>
      <c r="F16" s="241">
        <f>SUM(F8:F15)</f>
        <v>3476918</v>
      </c>
    </row>
    <row r="17" spans="1:6">
      <c r="A17" s="27"/>
      <c r="B17" s="6"/>
      <c r="C17" s="27"/>
      <c r="D17" s="28"/>
      <c r="E17" s="28"/>
      <c r="F17" s="28"/>
    </row>
    <row r="18" spans="1:6">
      <c r="A18" s="232" t="s">
        <v>41</v>
      </c>
      <c r="B18" s="233" t="s">
        <v>578</v>
      </c>
      <c r="C18" s="232"/>
      <c r="D18" s="234"/>
      <c r="E18" s="232"/>
      <c r="F18" s="232"/>
    </row>
    <row r="19" spans="1:6">
      <c r="A19" s="27" t="s">
        <v>42</v>
      </c>
      <c r="B19" s="6" t="s">
        <v>589</v>
      </c>
      <c r="C19" s="27" t="s">
        <v>18</v>
      </c>
      <c r="D19" s="28">
        <v>47</v>
      </c>
      <c r="E19" s="28">
        <f>+'Unitarios provisionales'!B69</f>
        <v>29500</v>
      </c>
      <c r="F19" s="28">
        <f t="shared" si="0"/>
        <v>1386500</v>
      </c>
    </row>
    <row r="20" spans="1:6">
      <c r="A20" s="27" t="s">
        <v>43</v>
      </c>
      <c r="B20" s="29" t="s">
        <v>587</v>
      </c>
      <c r="C20" s="30" t="s">
        <v>8</v>
      </c>
      <c r="D20" s="31">
        <v>2</v>
      </c>
      <c r="E20" s="31">
        <f>+'Unitarios provisionales'!B75</f>
        <v>220150</v>
      </c>
      <c r="F20" s="28">
        <f t="shared" si="0"/>
        <v>440300</v>
      </c>
    </row>
    <row r="21" spans="1:6">
      <c r="A21" s="27" t="s">
        <v>44</v>
      </c>
      <c r="B21" s="29" t="s">
        <v>553</v>
      </c>
      <c r="C21" s="30" t="s">
        <v>8</v>
      </c>
      <c r="D21" s="31">
        <v>8</v>
      </c>
      <c r="E21" s="31">
        <f>+'Unitarios provisionales'!B81</f>
        <v>24000</v>
      </c>
      <c r="F21" s="28">
        <f t="shared" si="0"/>
        <v>192000</v>
      </c>
    </row>
    <row r="22" spans="1:6">
      <c r="A22" s="27" t="s">
        <v>580</v>
      </c>
      <c r="B22" s="29" t="s">
        <v>554</v>
      </c>
      <c r="C22" s="30" t="s">
        <v>8</v>
      </c>
      <c r="D22" s="31">
        <v>2</v>
      </c>
      <c r="E22" s="31">
        <f>+'Unitarios provisionales'!B87</f>
        <v>30000</v>
      </c>
      <c r="F22" s="28">
        <f t="shared" si="0"/>
        <v>60000</v>
      </c>
    </row>
    <row r="23" spans="1:6">
      <c r="A23" s="27" t="s">
        <v>581</v>
      </c>
      <c r="B23" s="29" t="s">
        <v>555</v>
      </c>
      <c r="C23" s="30" t="s">
        <v>8</v>
      </c>
      <c r="D23" s="31">
        <v>1</v>
      </c>
      <c r="E23" s="31">
        <f>+'Unitarios provisionales'!B93</f>
        <v>47500</v>
      </c>
      <c r="F23" s="28">
        <f t="shared" si="0"/>
        <v>47500</v>
      </c>
    </row>
    <row r="24" spans="1:6">
      <c r="A24" s="27" t="s">
        <v>582</v>
      </c>
      <c r="B24" s="29" t="s">
        <v>558</v>
      </c>
      <c r="C24" s="30" t="s">
        <v>8</v>
      </c>
      <c r="D24" s="31">
        <v>1</v>
      </c>
      <c r="E24" s="31">
        <v>47855</v>
      </c>
      <c r="F24" s="28">
        <f t="shared" si="0"/>
        <v>47855</v>
      </c>
    </row>
    <row r="25" spans="1:6">
      <c r="A25" s="27" t="s">
        <v>583</v>
      </c>
      <c r="B25" s="29" t="s">
        <v>556</v>
      </c>
      <c r="C25" s="30" t="s">
        <v>8</v>
      </c>
      <c r="D25" s="31">
        <v>13</v>
      </c>
      <c r="E25" s="31">
        <v>44655</v>
      </c>
      <c r="F25" s="28">
        <f t="shared" si="0"/>
        <v>580515</v>
      </c>
    </row>
    <row r="26" spans="1:6">
      <c r="A26" s="27" t="s">
        <v>584</v>
      </c>
      <c r="B26" s="29" t="s">
        <v>51</v>
      </c>
      <c r="C26" s="30" t="s">
        <v>8</v>
      </c>
      <c r="D26" s="31">
        <v>7</v>
      </c>
      <c r="E26" s="31">
        <v>47355</v>
      </c>
      <c r="F26" s="28">
        <f t="shared" si="0"/>
        <v>331485</v>
      </c>
    </row>
    <row r="27" spans="1:6" s="35" customFormat="1">
      <c r="A27" s="27" t="s">
        <v>585</v>
      </c>
      <c r="B27" s="32" t="s">
        <v>557</v>
      </c>
      <c r="C27" s="33" t="s">
        <v>8</v>
      </c>
      <c r="D27" s="34">
        <v>26</v>
      </c>
      <c r="E27" s="34">
        <v>50930</v>
      </c>
      <c r="F27" s="28">
        <f t="shared" si="0"/>
        <v>1324180</v>
      </c>
    </row>
    <row r="28" spans="1:6" s="12" customFormat="1">
      <c r="A28" s="27" t="s">
        <v>586</v>
      </c>
      <c r="B28" s="10" t="s">
        <v>570</v>
      </c>
      <c r="C28" s="7" t="s">
        <v>18</v>
      </c>
      <c r="D28" s="11">
        <v>150</v>
      </c>
      <c r="E28" s="11">
        <f>+'Unitarios provisionales'!B142</f>
        <v>5250</v>
      </c>
      <c r="F28" s="28">
        <f t="shared" si="0"/>
        <v>787500</v>
      </c>
    </row>
    <row r="29" spans="1:6">
      <c r="A29" s="239"/>
      <c r="B29" s="230" t="s">
        <v>577</v>
      </c>
      <c r="C29" s="239"/>
      <c r="D29" s="240"/>
      <c r="E29" s="240"/>
      <c r="F29" s="241">
        <f>SUM(F19:F28)</f>
        <v>5197835</v>
      </c>
    </row>
    <row r="30" spans="1:6" s="12" customFormat="1">
      <c r="A30" s="13"/>
      <c r="B30" s="235"/>
      <c r="C30" s="236"/>
      <c r="D30" s="237"/>
      <c r="E30" s="238"/>
      <c r="F30" s="81"/>
    </row>
    <row r="31" spans="1:6" s="12" customFormat="1">
      <c r="A31" s="13" t="s">
        <v>11</v>
      </c>
      <c r="B31" s="36" t="s">
        <v>579</v>
      </c>
      <c r="C31" s="37" t="s">
        <v>11</v>
      </c>
      <c r="D31" s="38" t="s">
        <v>11</v>
      </c>
      <c r="E31" s="39" t="s">
        <v>11</v>
      </c>
      <c r="F31" s="40">
        <f>+F16+F29</f>
        <v>8674753</v>
      </c>
    </row>
    <row r="33" spans="2:6" ht="15">
      <c r="B33" s="845" t="s">
        <v>53</v>
      </c>
      <c r="C33" s="845"/>
      <c r="D33" s="845"/>
      <c r="E33" s="46">
        <v>0.12</v>
      </c>
      <c r="F33" s="47">
        <f>+F31*E33</f>
        <v>1040970.36</v>
      </c>
    </row>
    <row r="34" spans="2:6" ht="15">
      <c r="B34" s="845" t="s">
        <v>54</v>
      </c>
      <c r="C34" s="845"/>
      <c r="D34" s="845"/>
      <c r="E34" s="46">
        <v>0.02</v>
      </c>
      <c r="F34" s="47">
        <f>+F31*E34</f>
        <v>173495.06</v>
      </c>
    </row>
    <row r="35" spans="2:6" ht="15">
      <c r="B35" s="845" t="s">
        <v>55</v>
      </c>
      <c r="C35" s="845"/>
      <c r="D35" s="845"/>
      <c r="E35" s="46">
        <v>0.08</v>
      </c>
      <c r="F35" s="47">
        <f>+F31*E35</f>
        <v>693980.24</v>
      </c>
    </row>
    <row r="36" spans="2:6" ht="15">
      <c r="B36" s="845" t="s">
        <v>56</v>
      </c>
      <c r="C36" s="845"/>
      <c r="D36" s="845"/>
      <c r="E36" s="46">
        <v>0.19</v>
      </c>
      <c r="F36" s="47">
        <f>+F35*E36</f>
        <v>131856.24559999999</v>
      </c>
    </row>
    <row r="37" spans="2:6" ht="15">
      <c r="B37" s="845" t="s">
        <v>57</v>
      </c>
      <c r="C37" s="845"/>
      <c r="D37" s="845"/>
      <c r="E37" s="845"/>
      <c r="F37" s="47">
        <f>SUM(F31:F36)</f>
        <v>10715054.9056</v>
      </c>
    </row>
  </sheetData>
  <mergeCells count="5">
    <mergeCell ref="B33:D33"/>
    <mergeCell ref="B34:D34"/>
    <mergeCell ref="B35:D35"/>
    <mergeCell ref="B36:D36"/>
    <mergeCell ref="B37:E37"/>
  </mergeCells>
  <printOptions horizontalCentered="1"/>
  <pageMargins left="0.74803149606299213" right="0.74803149606299213" top="1.5354330708661419" bottom="0.98425196850393704" header="0.70866141732283472" footer="0.51181102362204722"/>
  <pageSetup scale="75" orientation="portrait" horizontalDpi="300" verticalDpi="300" r:id="rId1"/>
  <headerFooter>
    <oddHeader>&amp;C&amp;"Arial,Negrita"
PROYECTO CONJUNTO LA QUINTA (TORRE 1)
TRUJILLO GUTIERREZ &amp; ASOCS.
REDES ELECTRICAS PROVISIONALES
(Mayo-Junio de 2017)</oddHeader>
    <oddFooter>&amp;C&amp;P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2"/>
  <sheetViews>
    <sheetView topLeftCell="A130" workbookViewId="0">
      <selection activeCell="C143" sqref="C143"/>
    </sheetView>
  </sheetViews>
  <sheetFormatPr baseColWidth="10" defaultRowHeight="15"/>
  <cols>
    <col min="1" max="1" width="41.375" style="67" customWidth="1"/>
    <col min="2" max="2" width="9.75" style="67" customWidth="1"/>
    <col min="3" max="3" width="5.625" style="67" bestFit="1" customWidth="1"/>
    <col min="4" max="16384" width="11" style="67"/>
  </cols>
  <sheetData>
    <row r="1" spans="1:8">
      <c r="A1" s="63" t="s">
        <v>546</v>
      </c>
      <c r="B1" s="64"/>
      <c r="C1" s="65"/>
      <c r="D1" s="66"/>
      <c r="E1" s="64"/>
      <c r="F1" s="64"/>
      <c r="G1" s="64"/>
      <c r="H1" s="64"/>
    </row>
    <row r="2" spans="1:8">
      <c r="A2" s="63"/>
      <c r="B2" s="64"/>
      <c r="C2" s="65"/>
      <c r="D2" s="66"/>
      <c r="E2" s="68" t="s">
        <v>61</v>
      </c>
      <c r="F2" s="68" t="s">
        <v>62</v>
      </c>
      <c r="G2" s="68" t="s">
        <v>63</v>
      </c>
      <c r="H2" s="68" t="s">
        <v>64</v>
      </c>
    </row>
    <row r="3" spans="1:8">
      <c r="A3" s="69" t="s">
        <v>546</v>
      </c>
      <c r="B3" s="70">
        <v>1</v>
      </c>
      <c r="C3" s="71" t="s">
        <v>8</v>
      </c>
      <c r="D3" s="72">
        <v>750000</v>
      </c>
      <c r="E3" s="73" t="s">
        <v>11</v>
      </c>
      <c r="F3" s="74">
        <f>B3*D3</f>
        <v>750000</v>
      </c>
      <c r="G3" s="72" t="s">
        <v>11</v>
      </c>
      <c r="H3" s="73" t="s">
        <v>11</v>
      </c>
    </row>
    <row r="4" spans="1:8">
      <c r="A4" s="69" t="s">
        <v>74</v>
      </c>
      <c r="B4" s="70">
        <v>1</v>
      </c>
      <c r="C4" s="71" t="s">
        <v>75</v>
      </c>
      <c r="D4" s="72">
        <v>80000</v>
      </c>
      <c r="E4" s="73" t="s">
        <v>11</v>
      </c>
      <c r="F4" s="74"/>
      <c r="G4" s="72" t="s">
        <v>11</v>
      </c>
      <c r="H4" s="73">
        <f>+B4*D4</f>
        <v>80000</v>
      </c>
    </row>
    <row r="5" spans="1:8">
      <c r="A5" s="69" t="s">
        <v>68</v>
      </c>
      <c r="B5" s="75">
        <v>0.71</v>
      </c>
      <c r="C5" s="71" t="s">
        <v>69</v>
      </c>
      <c r="D5" s="72">
        <v>170000</v>
      </c>
      <c r="E5" s="73" t="s">
        <v>11</v>
      </c>
      <c r="F5" s="73" t="s">
        <v>11</v>
      </c>
      <c r="G5" s="72">
        <f>B5*D5</f>
        <v>120700</v>
      </c>
      <c r="H5" s="73" t="s">
        <v>11</v>
      </c>
    </row>
    <row r="6" spans="1:8">
      <c r="A6" s="76" t="s">
        <v>70</v>
      </c>
      <c r="B6" s="77">
        <f>ROUND((SUM(E6:H6)),0)</f>
        <v>950700</v>
      </c>
      <c r="C6" s="78" t="s">
        <v>73</v>
      </c>
      <c r="D6" s="79"/>
      <c r="E6" s="80">
        <f>SUM(E3:E5)</f>
        <v>0</v>
      </c>
      <c r="F6" s="80">
        <f>SUM(F3:F5)</f>
        <v>750000</v>
      </c>
      <c r="G6" s="80">
        <f>SUM(G3:G5)</f>
        <v>120700</v>
      </c>
      <c r="H6" s="80">
        <f>SUM(H3:H5)</f>
        <v>80000</v>
      </c>
    </row>
    <row r="8" spans="1:8">
      <c r="A8" s="63" t="s">
        <v>559</v>
      </c>
      <c r="B8" s="64"/>
      <c r="C8" s="65"/>
      <c r="D8" s="66"/>
      <c r="E8" s="64"/>
      <c r="F8" s="64"/>
      <c r="G8" s="64"/>
      <c r="H8" s="64"/>
    </row>
    <row r="9" spans="1:8">
      <c r="A9" s="63"/>
      <c r="B9" s="64"/>
      <c r="C9" s="65"/>
      <c r="D9" s="66"/>
      <c r="E9" s="68" t="s">
        <v>61</v>
      </c>
      <c r="F9" s="68" t="s">
        <v>62</v>
      </c>
      <c r="G9" s="68" t="s">
        <v>63</v>
      </c>
      <c r="H9" s="68" t="s">
        <v>64</v>
      </c>
    </row>
    <row r="10" spans="1:8">
      <c r="A10" s="69" t="s">
        <v>559</v>
      </c>
      <c r="B10" s="70">
        <v>1</v>
      </c>
      <c r="C10" s="71" t="s">
        <v>8</v>
      </c>
      <c r="D10" s="72">
        <v>20479</v>
      </c>
      <c r="E10" s="73" t="s">
        <v>11</v>
      </c>
      <c r="F10" s="74">
        <f>B10*D10</f>
        <v>20479</v>
      </c>
      <c r="G10" s="72" t="s">
        <v>11</v>
      </c>
      <c r="H10" s="73" t="s">
        <v>11</v>
      </c>
    </row>
    <row r="11" spans="1:8">
      <c r="A11" s="69" t="s">
        <v>68</v>
      </c>
      <c r="B11" s="231">
        <v>4.7058000000000003E-2</v>
      </c>
      <c r="C11" s="71" t="s">
        <v>69</v>
      </c>
      <c r="D11" s="72">
        <v>170000</v>
      </c>
      <c r="E11" s="73" t="s">
        <v>11</v>
      </c>
      <c r="F11" s="73" t="s">
        <v>11</v>
      </c>
      <c r="G11" s="72">
        <f>B11*D11</f>
        <v>7999.8600000000006</v>
      </c>
      <c r="H11" s="73" t="s">
        <v>11</v>
      </c>
    </row>
    <row r="12" spans="1:8">
      <c r="A12" s="76" t="s">
        <v>70</v>
      </c>
      <c r="B12" s="77">
        <f>ROUND((SUM(E12:H12)),0)</f>
        <v>28479</v>
      </c>
      <c r="C12" s="78" t="s">
        <v>71</v>
      </c>
      <c r="D12" s="79"/>
      <c r="E12" s="80">
        <f>SUM(E10:E11)</f>
        <v>0</v>
      </c>
      <c r="F12" s="80">
        <f>SUM(F10:F11)</f>
        <v>20479</v>
      </c>
      <c r="G12" s="80">
        <f>SUM(G10:G11)</f>
        <v>7999.8600000000006</v>
      </c>
      <c r="H12" s="80">
        <f>SUM(H10:H11)</f>
        <v>0</v>
      </c>
    </row>
    <row r="14" spans="1:8">
      <c r="A14" s="63" t="s">
        <v>548</v>
      </c>
      <c r="B14" s="64"/>
      <c r="C14" s="65"/>
      <c r="D14" s="66"/>
      <c r="E14" s="64"/>
      <c r="F14" s="64"/>
      <c r="G14" s="64"/>
      <c r="H14" s="64"/>
    </row>
    <row r="15" spans="1:8">
      <c r="A15" s="63"/>
      <c r="B15" s="64"/>
      <c r="C15" s="65"/>
      <c r="D15" s="66"/>
      <c r="E15" s="68" t="s">
        <v>61</v>
      </c>
      <c r="F15" s="68" t="s">
        <v>62</v>
      </c>
      <c r="G15" s="68" t="s">
        <v>63</v>
      </c>
      <c r="H15" s="68" t="s">
        <v>64</v>
      </c>
    </row>
    <row r="16" spans="1:8">
      <c r="A16" s="69" t="s">
        <v>560</v>
      </c>
      <c r="B16" s="70">
        <v>1</v>
      </c>
      <c r="C16" s="71" t="s">
        <v>8</v>
      </c>
      <c r="D16" s="72">
        <v>9500</v>
      </c>
      <c r="E16" s="73" t="s">
        <v>11</v>
      </c>
      <c r="F16" s="74">
        <f>B16*D16</f>
        <v>9500</v>
      </c>
      <c r="G16" s="72" t="s">
        <v>11</v>
      </c>
      <c r="H16" s="73" t="s">
        <v>11</v>
      </c>
    </row>
    <row r="17" spans="1:8">
      <c r="A17" s="69" t="s">
        <v>68</v>
      </c>
      <c r="B17" s="231">
        <v>1.4704999999999999E-2</v>
      </c>
      <c r="C17" s="71" t="s">
        <v>69</v>
      </c>
      <c r="D17" s="72">
        <v>170000</v>
      </c>
      <c r="E17" s="73" t="s">
        <v>11</v>
      </c>
      <c r="F17" s="73" t="s">
        <v>11</v>
      </c>
      <c r="G17" s="72">
        <f>B17*D17</f>
        <v>2499.85</v>
      </c>
      <c r="H17" s="73" t="s">
        <v>11</v>
      </c>
    </row>
    <row r="18" spans="1:8">
      <c r="A18" s="76" t="s">
        <v>70</v>
      </c>
      <c r="B18" s="77">
        <f>ROUND((SUM(E18:H18)),0)</f>
        <v>12000</v>
      </c>
      <c r="C18" s="78" t="s">
        <v>73</v>
      </c>
      <c r="D18" s="79"/>
      <c r="E18" s="80">
        <f>SUM(E16:E17)</f>
        <v>0</v>
      </c>
      <c r="F18" s="80">
        <f>SUM(F16:F17)</f>
        <v>9500</v>
      </c>
      <c r="G18" s="80">
        <f>SUM(G16:G17)</f>
        <v>2499.85</v>
      </c>
      <c r="H18" s="80">
        <f>SUM(H16:H17)</f>
        <v>0</v>
      </c>
    </row>
    <row r="20" spans="1:8">
      <c r="A20" s="63" t="s">
        <v>561</v>
      </c>
      <c r="B20" s="64"/>
      <c r="C20" s="65"/>
      <c r="D20" s="66"/>
      <c r="E20" s="64"/>
      <c r="F20" s="64"/>
      <c r="G20" s="64"/>
      <c r="H20" s="64"/>
    </row>
    <row r="21" spans="1:8">
      <c r="A21" s="63"/>
      <c r="B21" s="64"/>
      <c r="C21" s="65"/>
      <c r="D21" s="66"/>
      <c r="E21" s="68" t="s">
        <v>61</v>
      </c>
      <c r="F21" s="68" t="s">
        <v>62</v>
      </c>
      <c r="G21" s="68" t="s">
        <v>63</v>
      </c>
      <c r="H21" s="68" t="s">
        <v>64</v>
      </c>
    </row>
    <row r="22" spans="1:8">
      <c r="A22" s="29" t="s">
        <v>561</v>
      </c>
      <c r="B22" s="82">
        <v>1</v>
      </c>
      <c r="C22" s="30" t="s">
        <v>8</v>
      </c>
      <c r="D22" s="9">
        <v>8500</v>
      </c>
      <c r="E22" s="29" t="s">
        <v>11</v>
      </c>
      <c r="F22" s="83">
        <f>B22*D22</f>
        <v>8500</v>
      </c>
      <c r="G22" s="9" t="s">
        <v>11</v>
      </c>
      <c r="H22" s="29" t="s">
        <v>11</v>
      </c>
    </row>
    <row r="23" spans="1:8">
      <c r="A23" s="29" t="s">
        <v>562</v>
      </c>
      <c r="B23" s="82">
        <v>1</v>
      </c>
      <c r="C23" s="30" t="s">
        <v>8</v>
      </c>
      <c r="D23" s="9">
        <v>3700</v>
      </c>
      <c r="E23" s="29"/>
      <c r="F23" s="83">
        <f>B23*D23</f>
        <v>3700</v>
      </c>
      <c r="G23" s="9"/>
      <c r="H23" s="29"/>
    </row>
    <row r="24" spans="1:8">
      <c r="A24" s="29" t="s">
        <v>79</v>
      </c>
      <c r="B24" s="82">
        <v>1</v>
      </c>
      <c r="C24" s="30" t="s">
        <v>8</v>
      </c>
      <c r="D24" s="9">
        <v>3000</v>
      </c>
      <c r="E24" s="29"/>
      <c r="F24" s="83">
        <f>B24*D24</f>
        <v>3000</v>
      </c>
      <c r="G24" s="9"/>
      <c r="H24" s="29"/>
    </row>
    <row r="25" spans="1:8">
      <c r="A25" s="29" t="s">
        <v>68</v>
      </c>
      <c r="B25" s="89">
        <v>0.03</v>
      </c>
      <c r="C25" s="30" t="s">
        <v>69</v>
      </c>
      <c r="D25" s="9">
        <v>170000</v>
      </c>
      <c r="E25" s="29" t="s">
        <v>11</v>
      </c>
      <c r="F25" s="83"/>
      <c r="G25" s="9">
        <f>B25*D25</f>
        <v>5100</v>
      </c>
      <c r="H25" s="29" t="s">
        <v>11</v>
      </c>
    </row>
    <row r="26" spans="1:8">
      <c r="A26" s="76" t="s">
        <v>70</v>
      </c>
      <c r="B26" s="85">
        <f>ROUND((SUM(E26:H26)),0)</f>
        <v>20300</v>
      </c>
      <c r="C26" s="78" t="s">
        <v>73</v>
      </c>
      <c r="D26" s="86"/>
      <c r="E26" s="80">
        <f>SUM(E22:E25)</f>
        <v>0</v>
      </c>
      <c r="F26" s="80">
        <f>SUM(F22:F25)</f>
        <v>15200</v>
      </c>
      <c r="G26" s="80">
        <f>SUM(G22:G25)</f>
        <v>5100</v>
      </c>
      <c r="H26" s="80">
        <f>SUM(H22:H25)</f>
        <v>0</v>
      </c>
    </row>
    <row r="28" spans="1:8">
      <c r="A28" s="63" t="s">
        <v>563</v>
      </c>
      <c r="B28" s="64"/>
      <c r="C28" s="65"/>
      <c r="D28" s="66"/>
      <c r="E28" s="64"/>
      <c r="F28" s="64"/>
      <c r="G28" s="64"/>
      <c r="H28" s="64"/>
    </row>
    <row r="29" spans="1:8">
      <c r="A29" s="63"/>
      <c r="B29" s="64"/>
      <c r="C29" s="65"/>
      <c r="D29" s="66"/>
      <c r="E29" s="68" t="s">
        <v>61</v>
      </c>
      <c r="F29" s="68" t="s">
        <v>62</v>
      </c>
      <c r="G29" s="68" t="s">
        <v>63</v>
      </c>
      <c r="H29" s="68" t="s">
        <v>64</v>
      </c>
    </row>
    <row r="30" spans="1:8">
      <c r="A30" s="90" t="s">
        <v>564</v>
      </c>
      <c r="B30" s="82">
        <v>3</v>
      </c>
      <c r="C30" s="30" t="s">
        <v>66</v>
      </c>
      <c r="D30" s="9">
        <v>6000</v>
      </c>
      <c r="E30" s="29" t="s">
        <v>11</v>
      </c>
      <c r="F30" s="83">
        <f>B30*D30</f>
        <v>18000</v>
      </c>
      <c r="G30" s="9" t="s">
        <v>11</v>
      </c>
      <c r="H30" s="29" t="s">
        <v>11</v>
      </c>
    </row>
    <row r="31" spans="1:8">
      <c r="A31" s="90" t="s">
        <v>565</v>
      </c>
      <c r="B31" s="82">
        <v>1</v>
      </c>
      <c r="C31" s="30" t="s">
        <v>8</v>
      </c>
      <c r="D31" s="9">
        <v>3000</v>
      </c>
      <c r="E31" s="29" t="s">
        <v>11</v>
      </c>
      <c r="F31" s="83">
        <f>B31*D31</f>
        <v>3000</v>
      </c>
      <c r="G31" s="9" t="s">
        <v>11</v>
      </c>
      <c r="H31" s="29" t="s">
        <v>11</v>
      </c>
    </row>
    <row r="32" spans="1:8">
      <c r="A32" s="90" t="s">
        <v>86</v>
      </c>
      <c r="B32" s="82">
        <v>2</v>
      </c>
      <c r="C32" s="30" t="s">
        <v>66</v>
      </c>
      <c r="D32" s="9">
        <v>2800</v>
      </c>
      <c r="E32" s="29" t="s">
        <v>11</v>
      </c>
      <c r="F32" s="83">
        <f>B32*D32</f>
        <v>5600</v>
      </c>
      <c r="G32" s="9" t="s">
        <v>11</v>
      </c>
      <c r="H32" s="29" t="s">
        <v>11</v>
      </c>
    </row>
    <row r="33" spans="1:8">
      <c r="A33" s="90" t="s">
        <v>87</v>
      </c>
      <c r="B33" s="82">
        <v>2</v>
      </c>
      <c r="C33" s="30" t="s">
        <v>8</v>
      </c>
      <c r="D33" s="9">
        <v>700</v>
      </c>
      <c r="E33" s="29"/>
      <c r="F33" s="83">
        <f>B33*D33</f>
        <v>1400</v>
      </c>
      <c r="G33" s="9"/>
      <c r="H33" s="29"/>
    </row>
    <row r="34" spans="1:8">
      <c r="A34" s="90" t="s">
        <v>68</v>
      </c>
      <c r="B34" s="91">
        <v>5.8823E-2</v>
      </c>
      <c r="C34" s="30" t="s">
        <v>69</v>
      </c>
      <c r="D34" s="9">
        <v>170000</v>
      </c>
      <c r="E34" s="29" t="s">
        <v>11</v>
      </c>
      <c r="F34" s="29" t="s">
        <v>11</v>
      </c>
      <c r="G34" s="9">
        <f>B34*D34</f>
        <v>9999.91</v>
      </c>
      <c r="H34" s="29" t="s">
        <v>11</v>
      </c>
    </row>
    <row r="35" spans="1:8">
      <c r="A35" s="76" t="s">
        <v>70</v>
      </c>
      <c r="B35" s="85">
        <f>ROUND((SUM(E35:H35)),0)</f>
        <v>38000</v>
      </c>
      <c r="C35" s="78" t="s">
        <v>73</v>
      </c>
      <c r="D35" s="86"/>
      <c r="E35" s="80">
        <f>SUM(E30:E34)</f>
        <v>0</v>
      </c>
      <c r="F35" s="80">
        <f>SUM(F30:F34)</f>
        <v>28000</v>
      </c>
      <c r="G35" s="80">
        <f>SUM(G30:G34)</f>
        <v>9999.91</v>
      </c>
      <c r="H35" s="80">
        <f>SUM(H30:H34)</f>
        <v>0</v>
      </c>
    </row>
    <row r="37" spans="1:8">
      <c r="A37" s="63" t="s">
        <v>566</v>
      </c>
      <c r="B37" s="64"/>
      <c r="C37" s="65"/>
      <c r="D37" s="66"/>
      <c r="E37" s="64"/>
      <c r="F37" s="64"/>
      <c r="G37" s="64"/>
      <c r="H37" s="64"/>
    </row>
    <row r="38" spans="1:8">
      <c r="A38" s="63"/>
      <c r="B38" s="64"/>
      <c r="C38" s="65"/>
      <c r="D38" s="66"/>
      <c r="E38" s="68" t="s">
        <v>61</v>
      </c>
      <c r="F38" s="68" t="s">
        <v>62</v>
      </c>
      <c r="G38" s="68" t="s">
        <v>63</v>
      </c>
      <c r="H38" s="68" t="s">
        <v>64</v>
      </c>
    </row>
    <row r="39" spans="1:8">
      <c r="A39" s="90" t="s">
        <v>566</v>
      </c>
      <c r="B39" s="82">
        <v>1</v>
      </c>
      <c r="C39" s="30" t="s">
        <v>66</v>
      </c>
      <c r="D39" s="9">
        <v>23551</v>
      </c>
      <c r="E39" s="29" t="s">
        <v>11</v>
      </c>
      <c r="F39" s="83">
        <f>B39*D39</f>
        <v>23551</v>
      </c>
      <c r="G39" s="9" t="s">
        <v>11</v>
      </c>
      <c r="H39" s="29" t="s">
        <v>11</v>
      </c>
    </row>
    <row r="40" spans="1:8">
      <c r="A40" s="90" t="s">
        <v>68</v>
      </c>
      <c r="B40" s="91">
        <v>4.4117000000000003E-2</v>
      </c>
      <c r="C40" s="30" t="s">
        <v>69</v>
      </c>
      <c r="D40" s="9">
        <v>170000</v>
      </c>
      <c r="E40" s="29" t="s">
        <v>11</v>
      </c>
      <c r="F40" s="29" t="s">
        <v>11</v>
      </c>
      <c r="G40" s="9">
        <f>B40*D40</f>
        <v>7499.89</v>
      </c>
      <c r="H40" s="29" t="s">
        <v>11</v>
      </c>
    </row>
    <row r="41" spans="1:8">
      <c r="A41" s="76" t="s">
        <v>70</v>
      </c>
      <c r="B41" s="85">
        <f>ROUND((SUM(E41:H41)),0)</f>
        <v>31051</v>
      </c>
      <c r="C41" s="78" t="s">
        <v>71</v>
      </c>
      <c r="D41" s="86"/>
      <c r="E41" s="80">
        <f>SUM(E39:E40)</f>
        <v>0</v>
      </c>
      <c r="F41" s="80">
        <f>SUM(F39:F40)</f>
        <v>23551</v>
      </c>
      <c r="G41" s="80">
        <f>SUM(G39:G40)</f>
        <v>7499.89</v>
      </c>
      <c r="H41" s="80">
        <f>SUM(H39:H40)</f>
        <v>0</v>
      </c>
    </row>
    <row r="43" spans="1:8">
      <c r="A43" s="63" t="s">
        <v>567</v>
      </c>
      <c r="B43" s="64"/>
      <c r="C43" s="65"/>
      <c r="D43" s="66"/>
      <c r="E43" s="64"/>
      <c r="F43" s="64"/>
      <c r="G43" s="64"/>
      <c r="H43" s="64"/>
    </row>
    <row r="44" spans="1:8">
      <c r="A44" s="63"/>
      <c r="B44" s="64"/>
      <c r="C44" s="65"/>
      <c r="D44" s="66"/>
      <c r="E44" s="68" t="s">
        <v>61</v>
      </c>
      <c r="F44" s="68" t="s">
        <v>62</v>
      </c>
      <c r="G44" s="68" t="s">
        <v>63</v>
      </c>
      <c r="H44" s="68" t="s">
        <v>64</v>
      </c>
    </row>
    <row r="45" spans="1:8">
      <c r="A45" s="29" t="s">
        <v>382</v>
      </c>
      <c r="B45" s="82">
        <v>1</v>
      </c>
      <c r="C45" s="30" t="s">
        <v>8</v>
      </c>
      <c r="D45" s="9">
        <v>300000</v>
      </c>
      <c r="E45" s="29" t="s">
        <v>11</v>
      </c>
      <c r="F45" s="83">
        <f t="shared" ref="F45:F53" si="0">B45*D45</f>
        <v>300000</v>
      </c>
      <c r="G45" s="9" t="s">
        <v>11</v>
      </c>
      <c r="H45" s="29" t="s">
        <v>11</v>
      </c>
    </row>
    <row r="46" spans="1:8">
      <c r="A46" s="29" t="s">
        <v>449</v>
      </c>
      <c r="B46" s="82">
        <v>1</v>
      </c>
      <c r="C46" s="30" t="s">
        <v>8</v>
      </c>
      <c r="D46" s="9">
        <v>60000</v>
      </c>
      <c r="E46" s="29" t="s">
        <v>11</v>
      </c>
      <c r="F46" s="83">
        <f t="shared" si="0"/>
        <v>60000</v>
      </c>
      <c r="G46" s="9" t="s">
        <v>11</v>
      </c>
      <c r="H46" s="29" t="s">
        <v>11</v>
      </c>
    </row>
    <row r="47" spans="1:8">
      <c r="A47" s="90" t="s">
        <v>86</v>
      </c>
      <c r="B47" s="82">
        <v>2</v>
      </c>
      <c r="C47" s="30" t="s">
        <v>66</v>
      </c>
      <c r="D47" s="9">
        <v>2800</v>
      </c>
      <c r="E47" s="29" t="s">
        <v>11</v>
      </c>
      <c r="F47" s="83">
        <f t="shared" si="0"/>
        <v>5600</v>
      </c>
      <c r="G47" s="9" t="s">
        <v>11</v>
      </c>
      <c r="H47" s="29" t="s">
        <v>11</v>
      </c>
    </row>
    <row r="48" spans="1:8">
      <c r="A48" s="90" t="s">
        <v>87</v>
      </c>
      <c r="B48" s="82">
        <v>2</v>
      </c>
      <c r="C48" s="30" t="s">
        <v>8</v>
      </c>
      <c r="D48" s="9">
        <v>700</v>
      </c>
      <c r="E48" s="29"/>
      <c r="F48" s="83">
        <f t="shared" si="0"/>
        <v>1400</v>
      </c>
      <c r="G48" s="9"/>
      <c r="H48" s="29"/>
    </row>
    <row r="49" spans="1:8">
      <c r="A49" s="29" t="s">
        <v>94</v>
      </c>
      <c r="B49" s="82">
        <v>1</v>
      </c>
      <c r="C49" s="30" t="s">
        <v>8</v>
      </c>
      <c r="D49" s="9">
        <v>45760</v>
      </c>
      <c r="E49" s="29"/>
      <c r="F49" s="83">
        <f t="shared" si="0"/>
        <v>45760</v>
      </c>
      <c r="G49" s="9"/>
      <c r="H49" s="29"/>
    </row>
    <row r="50" spans="1:8">
      <c r="A50" s="29" t="s">
        <v>81</v>
      </c>
      <c r="B50" s="82">
        <v>1</v>
      </c>
      <c r="C50" s="30" t="s">
        <v>8</v>
      </c>
      <c r="D50" s="9">
        <v>110200</v>
      </c>
      <c r="E50" s="29"/>
      <c r="F50" s="83">
        <f t="shared" si="0"/>
        <v>110200</v>
      </c>
      <c r="G50" s="9"/>
      <c r="H50" s="29"/>
    </row>
    <row r="51" spans="1:8" ht="14.25" customHeight="1">
      <c r="A51" s="29" t="s">
        <v>99</v>
      </c>
      <c r="B51" s="82">
        <v>5</v>
      </c>
      <c r="C51" s="30" t="s">
        <v>66</v>
      </c>
      <c r="D51" s="9">
        <v>3485</v>
      </c>
      <c r="E51" s="29" t="s">
        <v>11</v>
      </c>
      <c r="F51" s="83">
        <f t="shared" si="0"/>
        <v>17425</v>
      </c>
      <c r="G51" s="9" t="s">
        <v>11</v>
      </c>
      <c r="H51" s="29" t="s">
        <v>11</v>
      </c>
    </row>
    <row r="52" spans="1:8" ht="14.25" customHeight="1">
      <c r="A52" s="29" t="s">
        <v>568</v>
      </c>
      <c r="B52" s="82">
        <v>3</v>
      </c>
      <c r="C52" s="30" t="s">
        <v>18</v>
      </c>
      <c r="D52" s="9">
        <v>2700</v>
      </c>
      <c r="E52" s="29"/>
      <c r="F52" s="83">
        <f t="shared" si="0"/>
        <v>8100</v>
      </c>
      <c r="G52" s="9"/>
      <c r="H52" s="29"/>
    </row>
    <row r="53" spans="1:8" ht="14.25" customHeight="1">
      <c r="A53" s="29" t="s">
        <v>569</v>
      </c>
      <c r="B53" s="82">
        <v>1</v>
      </c>
      <c r="C53" s="30" t="s">
        <v>8</v>
      </c>
      <c r="D53" s="9">
        <v>8500</v>
      </c>
      <c r="E53" s="29"/>
      <c r="F53" s="83">
        <f t="shared" si="0"/>
        <v>8500</v>
      </c>
      <c r="G53" s="9"/>
      <c r="H53" s="29"/>
    </row>
    <row r="54" spans="1:8">
      <c r="A54" s="29" t="s">
        <v>68</v>
      </c>
      <c r="B54" s="89">
        <v>0.25</v>
      </c>
      <c r="C54" s="30" t="s">
        <v>69</v>
      </c>
      <c r="D54" s="9">
        <v>170000</v>
      </c>
      <c r="E54" s="29" t="s">
        <v>11</v>
      </c>
      <c r="F54" s="83"/>
      <c r="G54" s="9">
        <f>B54*D54</f>
        <v>42500</v>
      </c>
      <c r="H54" s="29" t="s">
        <v>11</v>
      </c>
    </row>
    <row r="55" spans="1:8">
      <c r="A55" s="76" t="s">
        <v>70</v>
      </c>
      <c r="B55" s="85">
        <f>ROUND((SUM(E55:H55)),0)</f>
        <v>599485</v>
      </c>
      <c r="C55" s="78" t="s">
        <v>73</v>
      </c>
      <c r="D55" s="86"/>
      <c r="E55" s="80">
        <f>SUM(E45:E54)</f>
        <v>0</v>
      </c>
      <c r="F55" s="80">
        <f>SUM(F45:F54)</f>
        <v>556985</v>
      </c>
      <c r="G55" s="80">
        <f>SUM(G45:G54)</f>
        <v>42500</v>
      </c>
      <c r="H55" s="80">
        <f>SUM(H45:H54)</f>
        <v>0</v>
      </c>
    </row>
    <row r="57" spans="1:8" s="4" customFormat="1" ht="12.75">
      <c r="A57" s="63" t="s">
        <v>571</v>
      </c>
      <c r="B57" s="64"/>
      <c r="C57" s="65"/>
      <c r="D57" s="66"/>
      <c r="E57" s="64"/>
      <c r="F57" s="64"/>
      <c r="G57" s="64"/>
      <c r="H57" s="64"/>
    </row>
    <row r="58" spans="1:8" s="4" customFormat="1" ht="12.75">
      <c r="A58" s="63"/>
      <c r="B58" s="64"/>
      <c r="C58" s="65"/>
      <c r="D58" s="66"/>
      <c r="E58" s="68" t="s">
        <v>61</v>
      </c>
      <c r="F58" s="68" t="s">
        <v>62</v>
      </c>
      <c r="G58" s="68" t="s">
        <v>63</v>
      </c>
      <c r="H58" s="68" t="s">
        <v>64</v>
      </c>
    </row>
    <row r="59" spans="1:8" s="121" customFormat="1" ht="14.25">
      <c r="A59" s="29" t="s">
        <v>100</v>
      </c>
      <c r="B59" s="82">
        <v>4</v>
      </c>
      <c r="C59" s="30" t="s">
        <v>66</v>
      </c>
      <c r="D59" s="9">
        <v>5500</v>
      </c>
      <c r="E59" s="29" t="s">
        <v>11</v>
      </c>
      <c r="F59" s="83">
        <f>B59*D59</f>
        <v>22000</v>
      </c>
      <c r="G59" s="9" t="s">
        <v>11</v>
      </c>
      <c r="H59" s="29" t="s">
        <v>11</v>
      </c>
    </row>
    <row r="60" spans="1:8" s="121" customFormat="1" ht="14.25">
      <c r="A60" s="29" t="s">
        <v>99</v>
      </c>
      <c r="B60" s="82">
        <v>1</v>
      </c>
      <c r="C60" s="30" t="s">
        <v>66</v>
      </c>
      <c r="D60" s="9">
        <v>3485</v>
      </c>
      <c r="E60" s="29" t="s">
        <v>11</v>
      </c>
      <c r="F60" s="83">
        <f>B60*D60</f>
        <v>3485</v>
      </c>
      <c r="G60" s="9" t="s">
        <v>11</v>
      </c>
      <c r="H60" s="29" t="s">
        <v>11</v>
      </c>
    </row>
    <row r="61" spans="1:8" s="121" customFormat="1" ht="14.25">
      <c r="A61" s="29" t="s">
        <v>188</v>
      </c>
      <c r="B61" s="82">
        <v>1</v>
      </c>
      <c r="C61" s="30" t="s">
        <v>66</v>
      </c>
      <c r="D61" s="9">
        <v>1700</v>
      </c>
      <c r="E61" s="29" t="s">
        <v>11</v>
      </c>
      <c r="F61" s="83">
        <f>B61*D61</f>
        <v>1700</v>
      </c>
      <c r="G61" s="9" t="s">
        <v>11</v>
      </c>
      <c r="H61" s="29" t="s">
        <v>11</v>
      </c>
    </row>
    <row r="62" spans="1:8" s="121" customFormat="1" ht="14.25">
      <c r="A62" s="29" t="s">
        <v>68</v>
      </c>
      <c r="B62" s="91">
        <v>4.4117000000000003E-2</v>
      </c>
      <c r="C62" s="30" t="s">
        <v>69</v>
      </c>
      <c r="D62" s="9">
        <v>170000</v>
      </c>
      <c r="E62" s="29" t="s">
        <v>11</v>
      </c>
      <c r="F62" s="83"/>
      <c r="G62" s="9">
        <f>B62*D62</f>
        <v>7499.89</v>
      </c>
      <c r="H62" s="29" t="s">
        <v>11</v>
      </c>
    </row>
    <row r="63" spans="1:8" s="4" customFormat="1" ht="12.75">
      <c r="A63" s="76" t="s">
        <v>70</v>
      </c>
      <c r="B63" s="85">
        <f>ROUND((SUM(E63:H63)),0)</f>
        <v>34685</v>
      </c>
      <c r="C63" s="78" t="s">
        <v>71</v>
      </c>
      <c r="D63" s="86"/>
      <c r="E63" s="80">
        <f>SUM(E59:E62)</f>
        <v>0</v>
      </c>
      <c r="F63" s="80">
        <f>SUM(F59:F62)</f>
        <v>27185</v>
      </c>
      <c r="G63" s="80">
        <f>SUM(G59:G62)</f>
        <v>7499.89</v>
      </c>
      <c r="H63" s="80">
        <f>SUM(H59:H62)</f>
        <v>0</v>
      </c>
    </row>
    <row r="65" spans="1:8">
      <c r="A65" s="63" t="s">
        <v>572</v>
      </c>
      <c r="B65" s="64"/>
      <c r="C65" s="65"/>
      <c r="D65" s="66"/>
      <c r="E65" s="64"/>
      <c r="F65" s="64"/>
      <c r="G65" s="64"/>
      <c r="H65" s="64"/>
    </row>
    <row r="66" spans="1:8">
      <c r="A66" s="63"/>
      <c r="B66" s="64"/>
      <c r="C66" s="65"/>
      <c r="D66" s="66"/>
      <c r="E66" s="68" t="s">
        <v>61</v>
      </c>
      <c r="F66" s="68" t="s">
        <v>62</v>
      </c>
      <c r="G66" s="68" t="s">
        <v>63</v>
      </c>
      <c r="H66" s="68" t="s">
        <v>64</v>
      </c>
    </row>
    <row r="67" spans="1:8">
      <c r="A67" s="29" t="s">
        <v>100</v>
      </c>
      <c r="B67" s="82">
        <v>4</v>
      </c>
      <c r="C67" s="30" t="s">
        <v>66</v>
      </c>
      <c r="D67" s="9">
        <v>5500</v>
      </c>
      <c r="E67" s="29" t="s">
        <v>11</v>
      </c>
      <c r="F67" s="83">
        <f>B67*D67</f>
        <v>22000</v>
      </c>
      <c r="G67" s="9" t="s">
        <v>11</v>
      </c>
      <c r="H67" s="29" t="s">
        <v>11</v>
      </c>
    </row>
    <row r="68" spans="1:8">
      <c r="A68" s="29" t="s">
        <v>68</v>
      </c>
      <c r="B68" s="91">
        <v>4.4117000000000003E-2</v>
      </c>
      <c r="C68" s="30" t="s">
        <v>69</v>
      </c>
      <c r="D68" s="9">
        <v>170000</v>
      </c>
      <c r="E68" s="29" t="s">
        <v>11</v>
      </c>
      <c r="F68" s="83"/>
      <c r="G68" s="9">
        <f>B68*D68</f>
        <v>7499.89</v>
      </c>
      <c r="H68" s="29" t="s">
        <v>11</v>
      </c>
    </row>
    <row r="69" spans="1:8">
      <c r="A69" s="76" t="s">
        <v>70</v>
      </c>
      <c r="B69" s="85">
        <f>ROUND((SUM(E69:H69)),0)</f>
        <v>29500</v>
      </c>
      <c r="C69" s="78" t="s">
        <v>71</v>
      </c>
      <c r="D69" s="86"/>
      <c r="E69" s="80">
        <f>SUM(E67:E68)</f>
        <v>0</v>
      </c>
      <c r="F69" s="80">
        <f>SUM(F67:F68)</f>
        <v>22000</v>
      </c>
      <c r="G69" s="80">
        <f>SUM(G67:G68)</f>
        <v>7499.89</v>
      </c>
      <c r="H69" s="80">
        <f>SUM(H67:H68)</f>
        <v>0</v>
      </c>
    </row>
    <row r="71" spans="1:8">
      <c r="A71" s="63" t="s">
        <v>50</v>
      </c>
      <c r="B71" s="64"/>
      <c r="C71" s="65"/>
      <c r="D71" s="66"/>
      <c r="E71" s="64"/>
      <c r="F71" s="64"/>
      <c r="G71" s="64"/>
      <c r="H71" s="64"/>
    </row>
    <row r="72" spans="1:8">
      <c r="A72" s="63"/>
      <c r="B72" s="64"/>
      <c r="C72" s="65"/>
      <c r="D72" s="66"/>
      <c r="E72" s="68" t="s">
        <v>61</v>
      </c>
      <c r="F72" s="68" t="s">
        <v>62</v>
      </c>
      <c r="G72" s="68" t="s">
        <v>63</v>
      </c>
      <c r="H72" s="68" t="s">
        <v>64</v>
      </c>
    </row>
    <row r="73" spans="1:8">
      <c r="A73" s="29" t="s">
        <v>50</v>
      </c>
      <c r="B73" s="82">
        <v>1</v>
      </c>
      <c r="C73" s="30" t="s">
        <v>8</v>
      </c>
      <c r="D73" s="9">
        <v>150150</v>
      </c>
      <c r="E73" s="29" t="s">
        <v>11</v>
      </c>
      <c r="F73" s="83">
        <f>B73*D73</f>
        <v>150150</v>
      </c>
      <c r="G73" s="9" t="s">
        <v>11</v>
      </c>
      <c r="H73" s="29" t="s">
        <v>11</v>
      </c>
    </row>
    <row r="74" spans="1:8">
      <c r="A74" s="29" t="s">
        <v>68</v>
      </c>
      <c r="B74" s="91">
        <v>0.41176400000000002</v>
      </c>
      <c r="C74" s="30" t="s">
        <v>69</v>
      </c>
      <c r="D74" s="9">
        <v>170000</v>
      </c>
      <c r="E74" s="29" t="s">
        <v>11</v>
      </c>
      <c r="F74" s="83"/>
      <c r="G74" s="9">
        <f>B74*D74</f>
        <v>69999.88</v>
      </c>
      <c r="H74" s="29" t="s">
        <v>11</v>
      </c>
    </row>
    <row r="75" spans="1:8">
      <c r="A75" s="76" t="s">
        <v>70</v>
      </c>
      <c r="B75" s="85">
        <f>ROUND((SUM(E75:H75)),0)</f>
        <v>220150</v>
      </c>
      <c r="C75" s="78" t="s">
        <v>73</v>
      </c>
      <c r="D75" s="86"/>
      <c r="E75" s="80">
        <f>SUM(E73:E74)</f>
        <v>0</v>
      </c>
      <c r="F75" s="80">
        <f>SUM(F73:F74)</f>
        <v>150150</v>
      </c>
      <c r="G75" s="80">
        <f>SUM(G73:G74)</f>
        <v>69999.88</v>
      </c>
      <c r="H75" s="80">
        <f>SUM(H73:H74)</f>
        <v>0</v>
      </c>
    </row>
    <row r="77" spans="1:8">
      <c r="A77" s="63" t="s">
        <v>553</v>
      </c>
      <c r="B77" s="64"/>
      <c r="C77" s="65"/>
      <c r="D77" s="66"/>
      <c r="E77" s="64"/>
      <c r="F77" s="64"/>
      <c r="G77" s="64"/>
      <c r="H77" s="64"/>
    </row>
    <row r="78" spans="1:8">
      <c r="A78" s="63"/>
      <c r="B78" s="64"/>
      <c r="C78" s="65"/>
      <c r="D78" s="66"/>
      <c r="E78" s="68" t="s">
        <v>61</v>
      </c>
      <c r="F78" s="68" t="s">
        <v>62</v>
      </c>
      <c r="G78" s="68" t="s">
        <v>63</v>
      </c>
      <c r="H78" s="68" t="s">
        <v>64</v>
      </c>
    </row>
    <row r="79" spans="1:8">
      <c r="A79" s="29" t="s">
        <v>46</v>
      </c>
      <c r="B79" s="82">
        <v>1</v>
      </c>
      <c r="C79" s="30" t="s">
        <v>49</v>
      </c>
      <c r="D79" s="9">
        <v>9000</v>
      </c>
      <c r="E79" s="29" t="s">
        <v>11</v>
      </c>
      <c r="F79" s="83">
        <f>B79*D79</f>
        <v>9000</v>
      </c>
      <c r="G79" s="9" t="s">
        <v>11</v>
      </c>
      <c r="H79" s="29" t="s">
        <v>11</v>
      </c>
    </row>
    <row r="80" spans="1:8">
      <c r="A80" s="29" t="s">
        <v>68</v>
      </c>
      <c r="B80" s="87">
        <v>8.8234999999999994E-2</v>
      </c>
      <c r="C80" s="30" t="s">
        <v>69</v>
      </c>
      <c r="D80" s="9">
        <v>170000</v>
      </c>
      <c r="E80" s="29" t="s">
        <v>11</v>
      </c>
      <c r="F80" s="29" t="s">
        <v>11</v>
      </c>
      <c r="G80" s="9">
        <f>B80*D80</f>
        <v>14999.949999999999</v>
      </c>
      <c r="H80" s="29" t="s">
        <v>11</v>
      </c>
    </row>
    <row r="81" spans="1:8">
      <c r="A81" s="76" t="s">
        <v>70</v>
      </c>
      <c r="B81" s="85">
        <f>ROUND((SUM(E81:H81)),0)</f>
        <v>24000</v>
      </c>
      <c r="C81" s="78" t="s">
        <v>73</v>
      </c>
      <c r="D81" s="86"/>
      <c r="E81" s="80">
        <f>SUM(E79:E80)</f>
        <v>0</v>
      </c>
      <c r="F81" s="80">
        <f>SUM(F79:F80)</f>
        <v>9000</v>
      </c>
      <c r="G81" s="80">
        <f>SUM(G79:G80)</f>
        <v>14999.949999999999</v>
      </c>
      <c r="H81" s="80">
        <f>SUM(H79:H80)</f>
        <v>0</v>
      </c>
    </row>
    <row r="83" spans="1:8">
      <c r="A83" s="63" t="s">
        <v>554</v>
      </c>
      <c r="B83" s="64"/>
      <c r="C83" s="65"/>
      <c r="D83" s="66"/>
      <c r="E83" s="64"/>
      <c r="F83" s="64"/>
      <c r="G83" s="64"/>
      <c r="H83" s="64"/>
    </row>
    <row r="84" spans="1:8">
      <c r="A84" s="63"/>
      <c r="B84" s="64"/>
      <c r="C84" s="65"/>
      <c r="D84" s="66"/>
      <c r="E84" s="68" t="s">
        <v>61</v>
      </c>
      <c r="F84" s="68" t="s">
        <v>62</v>
      </c>
      <c r="G84" s="68" t="s">
        <v>63</v>
      </c>
      <c r="H84" s="68" t="s">
        <v>64</v>
      </c>
    </row>
    <row r="85" spans="1:8">
      <c r="A85" s="29" t="s">
        <v>573</v>
      </c>
      <c r="B85" s="82">
        <v>1</v>
      </c>
      <c r="C85" s="30" t="s">
        <v>49</v>
      </c>
      <c r="D85" s="9">
        <v>15000</v>
      </c>
      <c r="E85" s="29" t="s">
        <v>11</v>
      </c>
      <c r="F85" s="83">
        <f>B85*D85</f>
        <v>15000</v>
      </c>
      <c r="G85" s="9" t="s">
        <v>11</v>
      </c>
      <c r="H85" s="29" t="s">
        <v>11</v>
      </c>
    </row>
    <row r="86" spans="1:8">
      <c r="A86" s="29" t="s">
        <v>68</v>
      </c>
      <c r="B86" s="87">
        <v>8.8234999999999994E-2</v>
      </c>
      <c r="C86" s="30" t="s">
        <v>69</v>
      </c>
      <c r="D86" s="9">
        <v>170000</v>
      </c>
      <c r="E86" s="29" t="s">
        <v>11</v>
      </c>
      <c r="F86" s="29" t="s">
        <v>11</v>
      </c>
      <c r="G86" s="9">
        <f>B86*D86</f>
        <v>14999.949999999999</v>
      </c>
      <c r="H86" s="29" t="s">
        <v>11</v>
      </c>
    </row>
    <row r="87" spans="1:8">
      <c r="A87" s="76" t="s">
        <v>70</v>
      </c>
      <c r="B87" s="85">
        <f>ROUND((SUM(E87:H87)),0)</f>
        <v>30000</v>
      </c>
      <c r="C87" s="78" t="s">
        <v>73</v>
      </c>
      <c r="D87" s="86"/>
      <c r="E87" s="80">
        <f>SUM(E85:E86)</f>
        <v>0</v>
      </c>
      <c r="F87" s="80">
        <f>SUM(F85:F86)</f>
        <v>15000</v>
      </c>
      <c r="G87" s="80">
        <f>SUM(G85:G86)</f>
        <v>14999.949999999999</v>
      </c>
      <c r="H87" s="80">
        <f>SUM(H85:H86)</f>
        <v>0</v>
      </c>
    </row>
    <row r="89" spans="1:8">
      <c r="A89" s="63" t="s">
        <v>555</v>
      </c>
      <c r="B89" s="64"/>
      <c r="C89" s="65"/>
      <c r="D89" s="66"/>
      <c r="E89" s="64"/>
      <c r="F89" s="64"/>
      <c r="G89" s="64"/>
      <c r="H89" s="64"/>
    </row>
    <row r="90" spans="1:8">
      <c r="A90" s="63"/>
      <c r="B90" s="64"/>
      <c r="C90" s="65"/>
      <c r="D90" s="66"/>
      <c r="E90" s="68" t="s">
        <v>61</v>
      </c>
      <c r="F90" s="68" t="s">
        <v>62</v>
      </c>
      <c r="G90" s="68" t="s">
        <v>63</v>
      </c>
      <c r="H90" s="68" t="s">
        <v>64</v>
      </c>
    </row>
    <row r="91" spans="1:8">
      <c r="A91" s="29" t="s">
        <v>216</v>
      </c>
      <c r="B91" s="82">
        <v>1</v>
      </c>
      <c r="C91" s="30" t="s">
        <v>49</v>
      </c>
      <c r="D91" s="9">
        <v>32500</v>
      </c>
      <c r="E91" s="29" t="s">
        <v>11</v>
      </c>
      <c r="F91" s="83">
        <f>B91*D91</f>
        <v>32500</v>
      </c>
      <c r="G91" s="9" t="s">
        <v>11</v>
      </c>
      <c r="H91" s="29" t="s">
        <v>11</v>
      </c>
    </row>
    <row r="92" spans="1:8">
      <c r="A92" s="29" t="s">
        <v>68</v>
      </c>
      <c r="B92" s="87">
        <v>8.8234999999999994E-2</v>
      </c>
      <c r="C92" s="30" t="s">
        <v>69</v>
      </c>
      <c r="D92" s="9">
        <v>170000</v>
      </c>
      <c r="E92" s="29" t="s">
        <v>11</v>
      </c>
      <c r="F92" s="29" t="s">
        <v>11</v>
      </c>
      <c r="G92" s="9">
        <f>B92*D92</f>
        <v>14999.949999999999</v>
      </c>
      <c r="H92" s="29" t="s">
        <v>11</v>
      </c>
    </row>
    <row r="93" spans="1:8">
      <c r="A93" s="76" t="s">
        <v>70</v>
      </c>
      <c r="B93" s="85">
        <f>ROUND((SUM(E93:H93)),0)</f>
        <v>47500</v>
      </c>
      <c r="C93" s="78" t="s">
        <v>73</v>
      </c>
      <c r="D93" s="86"/>
      <c r="E93" s="80">
        <f>SUM(E91:E92)</f>
        <v>0</v>
      </c>
      <c r="F93" s="80">
        <f>SUM(F91:F92)</f>
        <v>32500</v>
      </c>
      <c r="G93" s="80">
        <f>SUM(G91:G92)</f>
        <v>14999.949999999999</v>
      </c>
      <c r="H93" s="80">
        <f>SUM(H91:H92)</f>
        <v>0</v>
      </c>
    </row>
    <row r="95" spans="1:8">
      <c r="A95" s="63" t="s">
        <v>240</v>
      </c>
      <c r="B95" s="64"/>
      <c r="C95" s="65"/>
      <c r="D95" s="66"/>
      <c r="E95" s="64"/>
      <c r="F95" s="64"/>
      <c r="G95" s="64"/>
      <c r="H95" s="64"/>
    </row>
    <row r="96" spans="1:8">
      <c r="A96" s="63"/>
      <c r="B96" s="64"/>
      <c r="C96" s="65"/>
      <c r="D96" s="66"/>
      <c r="E96" s="68" t="s">
        <v>61</v>
      </c>
      <c r="F96" s="68" t="s">
        <v>62</v>
      </c>
      <c r="G96" s="68" t="s">
        <v>63</v>
      </c>
      <c r="H96" s="68" t="s">
        <v>64</v>
      </c>
    </row>
    <row r="97" spans="1:8">
      <c r="A97" s="29" t="s">
        <v>232</v>
      </c>
      <c r="B97" s="82">
        <v>1</v>
      </c>
      <c r="C97" s="30" t="s">
        <v>49</v>
      </c>
      <c r="D97" s="9">
        <v>1200</v>
      </c>
      <c r="E97" s="29" t="s">
        <v>11</v>
      </c>
      <c r="F97" s="83">
        <f t="shared" ref="F97:F102" si="1">B97*D97</f>
        <v>1200</v>
      </c>
      <c r="G97" s="9" t="s">
        <v>11</v>
      </c>
      <c r="H97" s="29" t="s">
        <v>11</v>
      </c>
    </row>
    <row r="98" spans="1:8">
      <c r="A98" s="29" t="s">
        <v>201</v>
      </c>
      <c r="B98" s="82">
        <v>12</v>
      </c>
      <c r="C98" s="30" t="s">
        <v>66</v>
      </c>
      <c r="D98" s="9">
        <v>790</v>
      </c>
      <c r="E98" s="29" t="s">
        <v>11</v>
      </c>
      <c r="F98" s="83">
        <f t="shared" si="1"/>
        <v>9480</v>
      </c>
      <c r="G98" s="9" t="s">
        <v>11</v>
      </c>
      <c r="H98" s="29" t="s">
        <v>11</v>
      </c>
    </row>
    <row r="99" spans="1:8">
      <c r="A99" s="29" t="s">
        <v>197</v>
      </c>
      <c r="B99" s="82">
        <v>4</v>
      </c>
      <c r="C99" s="30" t="s">
        <v>66</v>
      </c>
      <c r="D99" s="29">
        <v>700</v>
      </c>
      <c r="E99" s="29" t="s">
        <v>11</v>
      </c>
      <c r="F99" s="83">
        <f t="shared" si="1"/>
        <v>2800</v>
      </c>
      <c r="G99" s="9" t="s">
        <v>11</v>
      </c>
      <c r="H99" s="29" t="s">
        <v>11</v>
      </c>
    </row>
    <row r="100" spans="1:8">
      <c r="A100" s="29" t="s">
        <v>225</v>
      </c>
      <c r="B100" s="82">
        <v>2</v>
      </c>
      <c r="C100" s="30" t="s">
        <v>49</v>
      </c>
      <c r="D100" s="29">
        <v>190</v>
      </c>
      <c r="E100" s="29" t="s">
        <v>11</v>
      </c>
      <c r="F100" s="83">
        <f t="shared" si="1"/>
        <v>380</v>
      </c>
      <c r="G100" s="9" t="s">
        <v>11</v>
      </c>
      <c r="H100" s="29" t="s">
        <v>11</v>
      </c>
    </row>
    <row r="101" spans="1:8">
      <c r="A101" s="29" t="s">
        <v>226</v>
      </c>
      <c r="B101" s="82">
        <v>6</v>
      </c>
      <c r="C101" s="30" t="s">
        <v>49</v>
      </c>
      <c r="D101" s="29">
        <v>850</v>
      </c>
      <c r="E101" s="29" t="s">
        <v>11</v>
      </c>
      <c r="F101" s="83">
        <f t="shared" si="1"/>
        <v>5100</v>
      </c>
      <c r="G101" s="9" t="s">
        <v>11</v>
      </c>
      <c r="H101" s="29" t="s">
        <v>11</v>
      </c>
    </row>
    <row r="102" spans="1:8">
      <c r="A102" s="29" t="s">
        <v>241</v>
      </c>
      <c r="B102" s="82">
        <v>1</v>
      </c>
      <c r="C102" s="30" t="s">
        <v>49</v>
      </c>
      <c r="D102" s="9">
        <v>4500</v>
      </c>
      <c r="E102" s="29" t="s">
        <v>11</v>
      </c>
      <c r="F102" s="83">
        <f t="shared" si="1"/>
        <v>4500</v>
      </c>
      <c r="G102" s="9" t="s">
        <v>11</v>
      </c>
      <c r="H102" s="29" t="s">
        <v>11</v>
      </c>
    </row>
    <row r="103" spans="1:8">
      <c r="A103" s="29" t="s">
        <v>68</v>
      </c>
      <c r="B103" s="87">
        <v>0.10589999999999999</v>
      </c>
      <c r="C103" s="30" t="s">
        <v>69</v>
      </c>
      <c r="D103" s="9">
        <v>170000</v>
      </c>
      <c r="E103" s="29" t="s">
        <v>11</v>
      </c>
      <c r="F103" s="29" t="s">
        <v>11</v>
      </c>
      <c r="G103" s="9">
        <f>B103*D103</f>
        <v>18003</v>
      </c>
      <c r="H103" s="29" t="s">
        <v>11</v>
      </c>
    </row>
    <row r="104" spans="1:8">
      <c r="A104" s="76" t="s">
        <v>70</v>
      </c>
      <c r="B104" s="85">
        <f>ROUND((SUM(E104:H104)),0)</f>
        <v>41463</v>
      </c>
      <c r="C104" s="78" t="s">
        <v>73</v>
      </c>
      <c r="D104" s="86"/>
      <c r="E104" s="80">
        <f>SUM(E97:E103)</f>
        <v>0</v>
      </c>
      <c r="F104" s="80">
        <f>SUM(F97:F103)</f>
        <v>23460</v>
      </c>
      <c r="G104" s="80">
        <f>SUM(G97:G103)</f>
        <v>18003</v>
      </c>
      <c r="H104" s="80">
        <f>SUM(H97:H103)</f>
        <v>0</v>
      </c>
    </row>
    <row r="106" spans="1:8">
      <c r="A106" s="63" t="s">
        <v>223</v>
      </c>
      <c r="B106" s="64"/>
      <c r="C106" s="65"/>
      <c r="D106" s="66"/>
      <c r="E106" s="64"/>
      <c r="F106" s="64"/>
      <c r="G106" s="64"/>
      <c r="H106" s="64"/>
    </row>
    <row r="107" spans="1:8">
      <c r="A107" s="63"/>
      <c r="B107" s="64"/>
      <c r="C107" s="65"/>
      <c r="D107" s="66"/>
      <c r="E107" s="68" t="s">
        <v>61</v>
      </c>
      <c r="F107" s="68" t="s">
        <v>62</v>
      </c>
      <c r="G107" s="68" t="s">
        <v>63</v>
      </c>
      <c r="H107" s="68" t="s">
        <v>64</v>
      </c>
    </row>
    <row r="108" spans="1:8">
      <c r="A108" s="29" t="s">
        <v>224</v>
      </c>
      <c r="B108" s="82">
        <v>1</v>
      </c>
      <c r="C108" s="30" t="s">
        <v>49</v>
      </c>
      <c r="D108" s="9">
        <v>1200</v>
      </c>
      <c r="E108" s="29" t="s">
        <v>11</v>
      </c>
      <c r="F108" s="83">
        <f>B108*D108</f>
        <v>1200</v>
      </c>
      <c r="G108" s="9" t="s">
        <v>11</v>
      </c>
      <c r="H108" s="29" t="s">
        <v>11</v>
      </c>
    </row>
    <row r="109" spans="1:8">
      <c r="A109" s="29" t="s">
        <v>201</v>
      </c>
      <c r="B109" s="82">
        <v>15</v>
      </c>
      <c r="C109" s="30" t="s">
        <v>66</v>
      </c>
      <c r="D109" s="9">
        <v>790</v>
      </c>
      <c r="E109" s="29" t="s">
        <v>11</v>
      </c>
      <c r="F109" s="83">
        <f>B109*D109</f>
        <v>11850</v>
      </c>
      <c r="G109" s="9" t="s">
        <v>11</v>
      </c>
      <c r="H109" s="29" t="s">
        <v>11</v>
      </c>
    </row>
    <row r="110" spans="1:8">
      <c r="A110" s="29" t="s">
        <v>197</v>
      </c>
      <c r="B110" s="82">
        <v>5</v>
      </c>
      <c r="C110" s="30" t="s">
        <v>66</v>
      </c>
      <c r="D110" s="29">
        <v>700</v>
      </c>
      <c r="E110" s="29" t="s">
        <v>11</v>
      </c>
      <c r="F110" s="83">
        <f>B110*D110</f>
        <v>3500</v>
      </c>
      <c r="G110" s="9" t="s">
        <v>11</v>
      </c>
      <c r="H110" s="29" t="s">
        <v>11</v>
      </c>
    </row>
    <row r="111" spans="1:8">
      <c r="A111" s="29" t="s">
        <v>225</v>
      </c>
      <c r="B111" s="82">
        <v>2</v>
      </c>
      <c r="C111" s="30" t="s">
        <v>49</v>
      </c>
      <c r="D111" s="29">
        <v>190</v>
      </c>
      <c r="E111" s="29" t="s">
        <v>11</v>
      </c>
      <c r="F111" s="83">
        <f>B111*D111</f>
        <v>380</v>
      </c>
      <c r="G111" s="9" t="s">
        <v>11</v>
      </c>
      <c r="H111" s="29" t="s">
        <v>11</v>
      </c>
    </row>
    <row r="112" spans="1:8">
      <c r="A112" s="29" t="s">
        <v>226</v>
      </c>
      <c r="B112" s="82">
        <v>6</v>
      </c>
      <c r="C112" s="30" t="s">
        <v>49</v>
      </c>
      <c r="D112" s="29">
        <v>850</v>
      </c>
      <c r="E112" s="29" t="s">
        <v>11</v>
      </c>
      <c r="F112" s="83">
        <f>B112*D112</f>
        <v>5100</v>
      </c>
      <c r="G112" s="9" t="s">
        <v>11</v>
      </c>
      <c r="H112" s="29" t="s">
        <v>11</v>
      </c>
    </row>
    <row r="113" spans="1:8">
      <c r="A113" s="29" t="s">
        <v>68</v>
      </c>
      <c r="B113" s="87">
        <v>0.10589999999999999</v>
      </c>
      <c r="C113" s="30" t="s">
        <v>69</v>
      </c>
      <c r="D113" s="9">
        <v>170000</v>
      </c>
      <c r="E113" s="29" t="s">
        <v>11</v>
      </c>
      <c r="F113" s="29" t="s">
        <v>11</v>
      </c>
      <c r="G113" s="9">
        <f>B113*D113</f>
        <v>18003</v>
      </c>
      <c r="H113" s="29" t="s">
        <v>11</v>
      </c>
    </row>
    <row r="114" spans="1:8">
      <c r="A114" s="76" t="s">
        <v>70</v>
      </c>
      <c r="B114" s="85">
        <f>ROUND((SUM(E114:H114)),0)</f>
        <v>40033</v>
      </c>
      <c r="C114" s="78" t="s">
        <v>73</v>
      </c>
      <c r="D114" s="86"/>
      <c r="E114" s="80">
        <f>SUM(E108:E113)</f>
        <v>0</v>
      </c>
      <c r="F114" s="80">
        <f>SUM(F108:F113)</f>
        <v>22030</v>
      </c>
      <c r="G114" s="80">
        <f>SUM(G108:G113)</f>
        <v>18003</v>
      </c>
      <c r="H114" s="80">
        <f>SUM(H108:H113)</f>
        <v>0</v>
      </c>
    </row>
    <row r="116" spans="1:8">
      <c r="A116" s="63" t="s">
        <v>231</v>
      </c>
      <c r="B116" s="64"/>
      <c r="C116" s="65"/>
      <c r="D116" s="66"/>
      <c r="E116" s="64"/>
      <c r="F116" s="64"/>
      <c r="G116" s="64"/>
      <c r="H116" s="64"/>
    </row>
    <row r="117" spans="1:8">
      <c r="A117" s="63"/>
      <c r="B117" s="64"/>
      <c r="C117" s="65"/>
      <c r="D117" s="66"/>
      <c r="E117" s="68" t="s">
        <v>61</v>
      </c>
      <c r="F117" s="68" t="s">
        <v>62</v>
      </c>
      <c r="G117" s="68" t="s">
        <v>63</v>
      </c>
      <c r="H117" s="68" t="s">
        <v>64</v>
      </c>
    </row>
    <row r="118" spans="1:8">
      <c r="A118" s="29" t="s">
        <v>232</v>
      </c>
      <c r="B118" s="82">
        <v>1</v>
      </c>
      <c r="C118" s="30" t="s">
        <v>49</v>
      </c>
      <c r="D118" s="9">
        <v>1200</v>
      </c>
      <c r="E118" s="29" t="s">
        <v>11</v>
      </c>
      <c r="F118" s="83">
        <f t="shared" ref="F118:F123" si="2">B118*D118</f>
        <v>1200</v>
      </c>
      <c r="G118" s="9" t="s">
        <v>11</v>
      </c>
      <c r="H118" s="29" t="s">
        <v>11</v>
      </c>
    </row>
    <row r="119" spans="1:8">
      <c r="A119" s="29" t="s">
        <v>201</v>
      </c>
      <c r="B119" s="82">
        <v>12</v>
      </c>
      <c r="C119" s="30" t="s">
        <v>66</v>
      </c>
      <c r="D119" s="9">
        <v>790</v>
      </c>
      <c r="E119" s="29" t="s">
        <v>11</v>
      </c>
      <c r="F119" s="83">
        <f t="shared" si="2"/>
        <v>9480</v>
      </c>
      <c r="G119" s="9" t="s">
        <v>11</v>
      </c>
      <c r="H119" s="29" t="s">
        <v>11</v>
      </c>
    </row>
    <row r="120" spans="1:8">
      <c r="A120" s="29" t="s">
        <v>197</v>
      </c>
      <c r="B120" s="82">
        <v>4</v>
      </c>
      <c r="C120" s="30" t="s">
        <v>66</v>
      </c>
      <c r="D120" s="29">
        <v>700</v>
      </c>
      <c r="E120" s="29" t="s">
        <v>11</v>
      </c>
      <c r="F120" s="83">
        <f t="shared" si="2"/>
        <v>2800</v>
      </c>
      <c r="G120" s="9" t="s">
        <v>11</v>
      </c>
      <c r="H120" s="29" t="s">
        <v>11</v>
      </c>
    </row>
    <row r="121" spans="1:8">
      <c r="A121" s="29" t="s">
        <v>225</v>
      </c>
      <c r="B121" s="82">
        <v>2</v>
      </c>
      <c r="C121" s="30" t="s">
        <v>49</v>
      </c>
      <c r="D121" s="29">
        <v>190</v>
      </c>
      <c r="E121" s="29" t="s">
        <v>11</v>
      </c>
      <c r="F121" s="83">
        <f t="shared" si="2"/>
        <v>380</v>
      </c>
      <c r="G121" s="9" t="s">
        <v>11</v>
      </c>
      <c r="H121" s="29" t="s">
        <v>11</v>
      </c>
    </row>
    <row r="122" spans="1:8">
      <c r="A122" s="29" t="s">
        <v>226</v>
      </c>
      <c r="B122" s="82">
        <v>6</v>
      </c>
      <c r="C122" s="30" t="s">
        <v>49</v>
      </c>
      <c r="D122" s="29">
        <v>850</v>
      </c>
      <c r="E122" s="29" t="s">
        <v>11</v>
      </c>
      <c r="F122" s="83">
        <f t="shared" si="2"/>
        <v>5100</v>
      </c>
      <c r="G122" s="9" t="s">
        <v>11</v>
      </c>
      <c r="H122" s="29" t="s">
        <v>11</v>
      </c>
    </row>
    <row r="123" spans="1:8">
      <c r="A123" s="29" t="s">
        <v>233</v>
      </c>
      <c r="B123" s="82">
        <v>1</v>
      </c>
      <c r="C123" s="30" t="s">
        <v>49</v>
      </c>
      <c r="D123" s="9">
        <v>4000</v>
      </c>
      <c r="E123" s="29" t="s">
        <v>11</v>
      </c>
      <c r="F123" s="83">
        <f t="shared" si="2"/>
        <v>4000</v>
      </c>
      <c r="G123" s="9" t="s">
        <v>11</v>
      </c>
      <c r="H123" s="29" t="s">
        <v>11</v>
      </c>
    </row>
    <row r="124" spans="1:8">
      <c r="A124" s="29" t="s">
        <v>68</v>
      </c>
      <c r="B124" s="87">
        <v>0.10589999999999999</v>
      </c>
      <c r="C124" s="30" t="s">
        <v>69</v>
      </c>
      <c r="D124" s="9">
        <v>170000</v>
      </c>
      <c r="E124" s="29" t="s">
        <v>11</v>
      </c>
      <c r="F124" s="29" t="s">
        <v>11</v>
      </c>
      <c r="G124" s="9">
        <f>B124*D124</f>
        <v>18003</v>
      </c>
      <c r="H124" s="29" t="s">
        <v>11</v>
      </c>
    </row>
    <row r="125" spans="1:8">
      <c r="A125" s="76" t="s">
        <v>70</v>
      </c>
      <c r="B125" s="85">
        <f>ROUND((SUM(E125:H125)),0)</f>
        <v>40963</v>
      </c>
      <c r="C125" s="78" t="s">
        <v>73</v>
      </c>
      <c r="D125" s="86"/>
      <c r="E125" s="80">
        <f>SUM(E118:E124)</f>
        <v>0</v>
      </c>
      <c r="F125" s="80">
        <f>SUM(F118:F124)</f>
        <v>22960</v>
      </c>
      <c r="G125" s="80">
        <f>SUM(G118:G124)</f>
        <v>18003</v>
      </c>
      <c r="H125" s="80">
        <f>SUM(H118:H124)</f>
        <v>0</v>
      </c>
    </row>
    <row r="127" spans="1:8">
      <c r="A127" s="63" t="s">
        <v>246</v>
      </c>
      <c r="B127" s="64"/>
      <c r="C127" s="65"/>
      <c r="D127" s="66"/>
      <c r="E127" s="64"/>
      <c r="F127" s="64"/>
      <c r="G127" s="64"/>
      <c r="H127" s="64"/>
    </row>
    <row r="128" spans="1:8">
      <c r="A128" s="63"/>
      <c r="B128" s="64"/>
      <c r="C128" s="65"/>
      <c r="D128" s="66"/>
      <c r="E128" s="68" t="s">
        <v>61</v>
      </c>
      <c r="F128" s="68" t="s">
        <v>62</v>
      </c>
      <c r="G128" s="68" t="s">
        <v>63</v>
      </c>
      <c r="H128" s="68" t="s">
        <v>64</v>
      </c>
    </row>
    <row r="129" spans="1:8">
      <c r="A129" s="29" t="s">
        <v>232</v>
      </c>
      <c r="B129" s="82">
        <v>1</v>
      </c>
      <c r="C129" s="30" t="s">
        <v>49</v>
      </c>
      <c r="D129" s="9">
        <v>1200</v>
      </c>
      <c r="E129" s="29" t="s">
        <v>11</v>
      </c>
      <c r="F129" s="83">
        <f t="shared" ref="F129:F134" si="3">B129*D129</f>
        <v>1200</v>
      </c>
      <c r="G129" s="9" t="s">
        <v>11</v>
      </c>
      <c r="H129" s="29" t="s">
        <v>11</v>
      </c>
    </row>
    <row r="130" spans="1:8">
      <c r="A130" s="29" t="s">
        <v>247</v>
      </c>
      <c r="B130" s="82">
        <v>15</v>
      </c>
      <c r="C130" s="30" t="s">
        <v>66</v>
      </c>
      <c r="D130" s="9">
        <v>838</v>
      </c>
      <c r="E130" s="29" t="s">
        <v>11</v>
      </c>
      <c r="F130" s="83">
        <f t="shared" si="3"/>
        <v>12570</v>
      </c>
      <c r="G130" s="9" t="s">
        <v>11</v>
      </c>
      <c r="H130" s="29" t="s">
        <v>11</v>
      </c>
    </row>
    <row r="131" spans="1:8">
      <c r="A131" s="29" t="s">
        <v>197</v>
      </c>
      <c r="B131" s="82">
        <v>5</v>
      </c>
      <c r="C131" s="30" t="s">
        <v>66</v>
      </c>
      <c r="D131" s="29">
        <v>700</v>
      </c>
      <c r="E131" s="29" t="s">
        <v>11</v>
      </c>
      <c r="F131" s="83">
        <f t="shared" si="3"/>
        <v>3500</v>
      </c>
      <c r="G131" s="9" t="s">
        <v>11</v>
      </c>
      <c r="H131" s="29" t="s">
        <v>11</v>
      </c>
    </row>
    <row r="132" spans="1:8">
      <c r="A132" s="29" t="s">
        <v>225</v>
      </c>
      <c r="B132" s="82">
        <v>2</v>
      </c>
      <c r="C132" s="30" t="s">
        <v>49</v>
      </c>
      <c r="D132" s="29">
        <v>190</v>
      </c>
      <c r="E132" s="29" t="s">
        <v>11</v>
      </c>
      <c r="F132" s="83">
        <f t="shared" si="3"/>
        <v>380</v>
      </c>
      <c r="G132" s="9" t="s">
        <v>11</v>
      </c>
      <c r="H132" s="29" t="s">
        <v>11</v>
      </c>
    </row>
    <row r="133" spans="1:8">
      <c r="A133" s="29" t="s">
        <v>248</v>
      </c>
      <c r="B133" s="82">
        <v>1</v>
      </c>
      <c r="C133" s="30" t="s">
        <v>49</v>
      </c>
      <c r="D133" s="9">
        <v>4800</v>
      </c>
      <c r="E133" s="29" t="s">
        <v>11</v>
      </c>
      <c r="F133" s="83">
        <f t="shared" si="3"/>
        <v>4800</v>
      </c>
      <c r="G133" s="9" t="s">
        <v>11</v>
      </c>
      <c r="H133" s="29" t="s">
        <v>11</v>
      </c>
    </row>
    <row r="134" spans="1:8">
      <c r="A134" s="29" t="s">
        <v>226</v>
      </c>
      <c r="B134" s="82">
        <v>6</v>
      </c>
      <c r="C134" s="30" t="s">
        <v>49</v>
      </c>
      <c r="D134" s="29">
        <v>850</v>
      </c>
      <c r="E134" s="29" t="s">
        <v>11</v>
      </c>
      <c r="F134" s="83">
        <f t="shared" si="3"/>
        <v>5100</v>
      </c>
      <c r="G134" s="9" t="s">
        <v>11</v>
      </c>
      <c r="H134" s="29" t="s">
        <v>11</v>
      </c>
    </row>
    <row r="135" spans="1:8">
      <c r="A135" s="29" t="s">
        <v>68</v>
      </c>
      <c r="B135" s="87">
        <v>0.10589999999999999</v>
      </c>
      <c r="C135" s="30" t="s">
        <v>69</v>
      </c>
      <c r="D135" s="9">
        <v>170000</v>
      </c>
      <c r="E135" s="29" t="s">
        <v>11</v>
      </c>
      <c r="F135" s="29" t="s">
        <v>11</v>
      </c>
      <c r="G135" s="9">
        <f>B135*D135</f>
        <v>18003</v>
      </c>
      <c r="H135" s="29" t="s">
        <v>11</v>
      </c>
    </row>
    <row r="136" spans="1:8">
      <c r="A136" s="76" t="s">
        <v>70</v>
      </c>
      <c r="B136" s="85">
        <f>ROUND((SUM(E136:H136)),0)</f>
        <v>45553</v>
      </c>
      <c r="C136" s="78" t="s">
        <v>73</v>
      </c>
      <c r="D136" s="86"/>
      <c r="E136" s="80">
        <f>SUM(E129:E135)</f>
        <v>0</v>
      </c>
      <c r="F136" s="80">
        <f>SUM(F129:F135)</f>
        <v>27550</v>
      </c>
      <c r="G136" s="80">
        <f>SUM(G129:G135)</f>
        <v>18003</v>
      </c>
      <c r="H136" s="80">
        <f>SUM(H129:H135)</f>
        <v>0</v>
      </c>
    </row>
    <row r="137" spans="1:8" ht="14.25" customHeight="1"/>
    <row r="138" spans="1:8">
      <c r="A138" s="63" t="s">
        <v>574</v>
      </c>
      <c r="B138" s="64"/>
      <c r="C138" s="65"/>
      <c r="D138" s="66"/>
      <c r="E138" s="64"/>
      <c r="F138" s="64"/>
      <c r="G138" s="64"/>
      <c r="H138" s="64"/>
    </row>
    <row r="139" spans="1:8">
      <c r="A139" s="63"/>
      <c r="B139" s="64"/>
      <c r="C139" s="65"/>
      <c r="D139" s="66"/>
      <c r="E139" s="68" t="s">
        <v>61</v>
      </c>
      <c r="F139" s="68" t="s">
        <v>62</v>
      </c>
      <c r="G139" s="68" t="s">
        <v>63</v>
      </c>
      <c r="H139" s="68" t="s">
        <v>64</v>
      </c>
    </row>
    <row r="140" spans="1:8">
      <c r="A140" s="29" t="s">
        <v>575</v>
      </c>
      <c r="B140" s="82">
        <v>2</v>
      </c>
      <c r="C140" s="30" t="s">
        <v>18</v>
      </c>
      <c r="D140" s="9">
        <v>1625</v>
      </c>
      <c r="E140" s="29" t="s">
        <v>11</v>
      </c>
      <c r="F140" s="83">
        <f>B140*D140</f>
        <v>3250</v>
      </c>
      <c r="G140" s="9" t="s">
        <v>11</v>
      </c>
      <c r="H140" s="29" t="s">
        <v>11</v>
      </c>
    </row>
    <row r="141" spans="1:8">
      <c r="A141" s="29" t="s">
        <v>68</v>
      </c>
      <c r="B141" s="87">
        <v>1.1764E-2</v>
      </c>
      <c r="C141" s="30" t="s">
        <v>69</v>
      </c>
      <c r="D141" s="9">
        <v>170000</v>
      </c>
      <c r="E141" s="29" t="s">
        <v>11</v>
      </c>
      <c r="F141" s="29" t="s">
        <v>11</v>
      </c>
      <c r="G141" s="9">
        <f>B141*D141</f>
        <v>1999.88</v>
      </c>
      <c r="H141" s="29" t="s">
        <v>11</v>
      </c>
    </row>
    <row r="142" spans="1:8">
      <c r="A142" s="76" t="s">
        <v>70</v>
      </c>
      <c r="B142" s="85">
        <f>ROUND((SUM(E142:H142)),0)</f>
        <v>5250</v>
      </c>
      <c r="C142" s="78" t="s">
        <v>71</v>
      </c>
      <c r="D142" s="86"/>
      <c r="E142" s="80">
        <f>SUM(E140:E141)</f>
        <v>0</v>
      </c>
      <c r="F142" s="80">
        <f>SUM(F140:F141)</f>
        <v>3250</v>
      </c>
      <c r="G142" s="80">
        <f>SUM(G140:G141)</f>
        <v>1999.88</v>
      </c>
      <c r="H142" s="80">
        <f>SUM(H140:H141)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37"/>
  <sheetViews>
    <sheetView workbookViewId="0">
      <selection activeCell="E15" sqref="E15"/>
    </sheetView>
  </sheetViews>
  <sheetFormatPr baseColWidth="10" defaultRowHeight="14.25"/>
  <cols>
    <col min="1" max="1" width="14.625" customWidth="1"/>
    <col min="2" max="3" width="12" bestFit="1" customWidth="1"/>
    <col min="4" max="4" width="13.875" customWidth="1"/>
    <col min="5" max="6" width="12" bestFit="1" customWidth="1"/>
    <col min="7" max="7" width="9.625" customWidth="1"/>
    <col min="8" max="8" width="10.875" bestFit="1" customWidth="1"/>
    <col min="9" max="9" width="9" customWidth="1"/>
    <col min="10" max="10" width="10.875" bestFit="1" customWidth="1"/>
    <col min="11" max="11" width="8.875" customWidth="1"/>
    <col min="12" max="12" width="12.125" bestFit="1" customWidth="1"/>
    <col min="13" max="13" width="15.125" bestFit="1" customWidth="1"/>
  </cols>
  <sheetData>
    <row r="2" spans="1:12" s="449" customFormat="1" ht="20.100000000000001" customHeight="1">
      <c r="A2" s="847" t="s">
        <v>906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</row>
    <row r="3" spans="1:12" s="449" customFormat="1" ht="20.100000000000001" customHeight="1">
      <c r="A3" s="847" t="s">
        <v>904</v>
      </c>
      <c r="B3" s="847"/>
      <c r="C3" s="847"/>
      <c r="D3" s="847"/>
      <c r="E3" s="847"/>
      <c r="F3" s="847"/>
      <c r="G3" s="847"/>
      <c r="H3" s="847"/>
      <c r="I3" s="847"/>
      <c r="J3" s="847"/>
      <c r="K3" s="847"/>
      <c r="L3" s="847"/>
    </row>
    <row r="4" spans="1:12" ht="24.75" customHeight="1">
      <c r="A4" s="846" t="s">
        <v>1112</v>
      </c>
      <c r="B4" s="846"/>
      <c r="C4" s="846"/>
      <c r="D4" s="846"/>
      <c r="E4" s="846"/>
      <c r="F4" s="846"/>
      <c r="G4" s="846"/>
      <c r="H4" s="846"/>
      <c r="I4" s="846"/>
      <c r="J4" s="846"/>
      <c r="K4" s="846"/>
      <c r="L4" s="846"/>
    </row>
    <row r="5" spans="1:12" ht="38.25">
      <c r="A5" s="495" t="s">
        <v>903</v>
      </c>
      <c r="B5" s="496" t="s">
        <v>1113</v>
      </c>
      <c r="C5" s="497" t="s">
        <v>1118</v>
      </c>
      <c r="D5" s="496" t="s">
        <v>1114</v>
      </c>
      <c r="E5" s="497" t="s">
        <v>1118</v>
      </c>
      <c r="F5" s="496" t="s">
        <v>1115</v>
      </c>
      <c r="G5" s="497" t="s">
        <v>1118</v>
      </c>
      <c r="H5" s="496" t="s">
        <v>1116</v>
      </c>
      <c r="I5" s="497" t="s">
        <v>1118</v>
      </c>
      <c r="J5" s="496" t="s">
        <v>1117</v>
      </c>
      <c r="K5" s="497" t="s">
        <v>1118</v>
      </c>
      <c r="L5" s="496" t="s">
        <v>997</v>
      </c>
    </row>
    <row r="6" spans="1:12" ht="21.95" customHeight="1">
      <c r="A6" s="430" t="s">
        <v>899</v>
      </c>
      <c r="B6" s="432" t="s">
        <v>905</v>
      </c>
      <c r="C6" s="444"/>
      <c r="D6" s="432" t="s">
        <v>905</v>
      </c>
      <c r="E6" s="444"/>
      <c r="F6" s="432" t="s">
        <v>905</v>
      </c>
      <c r="G6" s="444"/>
      <c r="H6" s="432" t="s">
        <v>905</v>
      </c>
      <c r="I6" s="432"/>
      <c r="J6" s="432" t="s">
        <v>905</v>
      </c>
      <c r="K6" s="442"/>
      <c r="L6" s="498"/>
    </row>
    <row r="7" spans="1:12" ht="21.95" customHeight="1">
      <c r="A7" s="430" t="s">
        <v>900</v>
      </c>
      <c r="B7" s="502">
        <f>+'VICT 1'!G28</f>
        <v>222592783</v>
      </c>
      <c r="C7" s="839">
        <f>+'VICT 1'!E12+'VICT 1'!E13</f>
        <v>284</v>
      </c>
      <c r="D7" s="840">
        <f>+'VICT 2'!G25</f>
        <v>548986578</v>
      </c>
      <c r="E7" s="841">
        <f>+'VICT 2'!E12+'VICT 2'!E13</f>
        <v>740</v>
      </c>
      <c r="F7" s="840">
        <f>+'VICT 3'!G25</f>
        <v>225471393</v>
      </c>
      <c r="G7" s="841">
        <f>+'VICT 3'!E12+'VICT 3'!E13</f>
        <v>280</v>
      </c>
      <c r="H7" s="842"/>
      <c r="I7" s="843"/>
      <c r="J7" s="842"/>
      <c r="K7" s="842"/>
      <c r="L7" s="499"/>
    </row>
    <row r="8" spans="1:12" ht="21.95" customHeight="1">
      <c r="A8" s="430" t="s">
        <v>901</v>
      </c>
      <c r="B8" s="502">
        <f>+'MORALB 1'!G24</f>
        <v>88058577</v>
      </c>
      <c r="C8" s="839">
        <f>+'MORALB 1'!E12+'MORALB 1'!E13</f>
        <v>104</v>
      </c>
      <c r="D8" s="840">
        <f>+'ALT 2'!G25</f>
        <v>76027191</v>
      </c>
      <c r="E8" s="841">
        <f>+'ALT 2'!E12+'ALT 2'!E13</f>
        <v>86</v>
      </c>
      <c r="F8" s="840">
        <f>+'ALT 3'!G24</f>
        <v>93270695</v>
      </c>
      <c r="G8" s="841">
        <f>+'ALT 3'!E12+'ALT 3'!E13</f>
        <v>84</v>
      </c>
      <c r="H8" s="840">
        <f>+'ALT 4'!G27</f>
        <v>213862883</v>
      </c>
      <c r="I8" s="841">
        <f>+'ALT 4'!E12+'ALT 4'!E13</f>
        <v>256</v>
      </c>
      <c r="J8" s="840">
        <f>+'ALT 5'!G26</f>
        <v>127048085</v>
      </c>
      <c r="K8" s="841">
        <f>+'ALT 5'!E12+'ALT 5'!E13</f>
        <v>145</v>
      </c>
      <c r="L8" s="499"/>
    </row>
    <row r="9" spans="1:12" ht="21.95" customHeight="1">
      <c r="A9" s="430" t="s">
        <v>902</v>
      </c>
      <c r="B9" s="706">
        <f>+'JR 1'!G7</f>
        <v>0</v>
      </c>
      <c r="C9" s="707" t="e">
        <f>+'JR 1'!#REF!+'JR 1'!#REF!</f>
        <v>#REF!</v>
      </c>
      <c r="D9" s="706">
        <f>+'JR 2'!G7</f>
        <v>0</v>
      </c>
      <c r="E9" s="707" t="e">
        <f>+'JR 2'!#REF!+'JR 2'!#REF!</f>
        <v>#REF!</v>
      </c>
      <c r="F9" s="706">
        <f>+'JR 3'!G26</f>
        <v>78007615</v>
      </c>
      <c r="G9" s="503">
        <f>+'JR 3'!E12+'JR 3'!E13</f>
        <v>65</v>
      </c>
      <c r="H9" s="505" t="s">
        <v>905</v>
      </c>
      <c r="I9" s="505"/>
      <c r="J9" s="505"/>
      <c r="K9" s="504"/>
      <c r="L9" s="499"/>
    </row>
    <row r="10" spans="1:12" ht="7.5" customHeight="1">
      <c r="B10" s="500"/>
      <c r="C10" s="506"/>
      <c r="D10" s="500"/>
      <c r="E10" s="500"/>
      <c r="F10" s="500"/>
      <c r="G10" s="500"/>
      <c r="H10" s="500"/>
      <c r="I10" s="500"/>
      <c r="J10" s="500"/>
      <c r="K10" s="500"/>
      <c r="L10" s="500"/>
    </row>
    <row r="11" spans="1:12" ht="15">
      <c r="A11" s="447" t="s">
        <v>964</v>
      </c>
      <c r="B11" s="502">
        <f>SUM(B6:B9)</f>
        <v>310651360</v>
      </c>
      <c r="C11" s="507"/>
      <c r="D11" s="502">
        <f>SUM(D6:D9)</f>
        <v>625013769</v>
      </c>
      <c r="E11" s="499"/>
      <c r="F11" s="502">
        <f>SUM(F6:F9)</f>
        <v>396749703</v>
      </c>
      <c r="G11" s="508"/>
      <c r="H11" s="502">
        <f>SUM(H6:H9)</f>
        <v>213862883</v>
      </c>
      <c r="I11" s="508"/>
      <c r="J11" s="502">
        <f>SUM(J6:J9)</f>
        <v>127048085</v>
      </c>
      <c r="K11" s="499"/>
      <c r="L11" s="501">
        <f>SUM(B11:K11)</f>
        <v>1673325800</v>
      </c>
    </row>
    <row r="12" spans="1:12" ht="15">
      <c r="A12" s="447" t="s">
        <v>960</v>
      </c>
      <c r="B12" s="499"/>
      <c r="C12" s="505" t="e">
        <f>SUM(C6:C9)</f>
        <v>#REF!</v>
      </c>
      <c r="D12" s="499"/>
      <c r="E12" s="502" t="e">
        <f>SUM(E6:E9)</f>
        <v>#REF!</v>
      </c>
      <c r="F12" s="499"/>
      <c r="G12" s="502">
        <f>SUM(G6:G9)</f>
        <v>429</v>
      </c>
      <c r="H12" s="499"/>
      <c r="I12" s="502">
        <f>SUM(I6:I9)</f>
        <v>256</v>
      </c>
      <c r="J12" s="499"/>
      <c r="K12" s="502">
        <f>SUM(K6:K9)</f>
        <v>145</v>
      </c>
      <c r="L12" s="501" t="e">
        <f>SUM(B12:K12)</f>
        <v>#REF!</v>
      </c>
    </row>
    <row r="14" spans="1:12" ht="20.100000000000001" customHeight="1">
      <c r="A14" s="447" t="s">
        <v>961</v>
      </c>
      <c r="B14" s="430"/>
      <c r="C14" s="430"/>
      <c r="D14" s="463">
        <f>+L11</f>
        <v>1673325800</v>
      </c>
    </row>
    <row r="15" spans="1:12" ht="20.100000000000001" customHeight="1">
      <c r="A15" s="447" t="s">
        <v>962</v>
      </c>
      <c r="B15" s="430"/>
      <c r="C15" s="430"/>
      <c r="D15" s="463" t="e">
        <f>+L12</f>
        <v>#REF!</v>
      </c>
    </row>
    <row r="16" spans="1:12" ht="20.100000000000001" customHeight="1">
      <c r="A16" s="431" t="s">
        <v>963</v>
      </c>
      <c r="B16" s="431"/>
      <c r="C16" s="431"/>
      <c r="D16" s="509" t="e">
        <f>+ROUND(D14/D15,0)</f>
        <v>#REF!</v>
      </c>
    </row>
    <row r="18" spans="1:7" s="449" customFormat="1" ht="20.100000000000001" customHeight="1">
      <c r="F18" s="461"/>
    </row>
    <row r="19" spans="1:7" s="449" customFormat="1" ht="45.75" customHeight="1">
      <c r="A19" s="431" t="s">
        <v>903</v>
      </c>
      <c r="B19" s="462" t="s">
        <v>998</v>
      </c>
      <c r="C19" s="462" t="s">
        <v>999</v>
      </c>
      <c r="D19" s="462" t="s">
        <v>1000</v>
      </c>
      <c r="E19" s="462" t="s">
        <v>1001</v>
      </c>
      <c r="F19" s="462" t="s">
        <v>1002</v>
      </c>
    </row>
    <row r="20" spans="1:7" s="449" customFormat="1" ht="20.100000000000001" customHeight="1">
      <c r="A20" s="430" t="s">
        <v>899</v>
      </c>
      <c r="B20" s="444"/>
      <c r="C20" s="444"/>
      <c r="D20" s="444"/>
      <c r="E20" s="432"/>
      <c r="F20" s="442"/>
    </row>
    <row r="21" spans="1:7" ht="15">
      <c r="A21" s="430" t="s">
        <v>900</v>
      </c>
      <c r="B21" s="445">
        <f>+B7/C7</f>
        <v>783777.40492957749</v>
      </c>
      <c r="C21" s="445">
        <f>+D7/E7</f>
        <v>741873.75405405404</v>
      </c>
      <c r="D21" s="445">
        <f>+F7/G7</f>
        <v>805254.97499999998</v>
      </c>
      <c r="E21" s="371"/>
      <c r="F21" s="442"/>
      <c r="G21" s="454"/>
    </row>
    <row r="22" spans="1:7" ht="15">
      <c r="A22" s="430" t="s">
        <v>901</v>
      </c>
      <c r="B22" s="445">
        <f>+B8/C8</f>
        <v>846717.0865384615</v>
      </c>
      <c r="C22" s="445">
        <f>+D8/E8</f>
        <v>884037.10465116275</v>
      </c>
      <c r="D22" s="445">
        <f>+F8/G8</f>
        <v>1110365.4166666667</v>
      </c>
      <c r="E22" s="445">
        <f>+H8/I8</f>
        <v>835401.88671875</v>
      </c>
      <c r="F22" s="445">
        <f>+J8/K8</f>
        <v>876193.68965517241</v>
      </c>
      <c r="G22" s="454"/>
    </row>
    <row r="23" spans="1:7" ht="15">
      <c r="A23" s="430" t="s">
        <v>902</v>
      </c>
      <c r="B23" s="446"/>
      <c r="C23" s="446"/>
      <c r="D23" s="446">
        <f>+F9/G9</f>
        <v>1200117.1538461538</v>
      </c>
      <c r="E23" s="433"/>
      <c r="F23" s="442"/>
      <c r="G23" s="454"/>
    </row>
    <row r="24" spans="1:7">
      <c r="E24" s="454"/>
      <c r="G24" s="454"/>
    </row>
    <row r="25" spans="1:7" ht="15">
      <c r="A25" s="464"/>
      <c r="B25" s="448"/>
    </row>
    <row r="34" spans="4:4">
      <c r="D34" s="382"/>
    </row>
    <row r="37" spans="4:4">
      <c r="D37" s="382"/>
    </row>
  </sheetData>
  <mergeCells count="3">
    <mergeCell ref="A4:L4"/>
    <mergeCell ref="A3:L3"/>
    <mergeCell ref="A2:L2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203"/>
  <sheetViews>
    <sheetView topLeftCell="A8" zoomScale="140" zoomScaleNormal="140" workbookViewId="0">
      <selection activeCell="E14" sqref="E14"/>
    </sheetView>
  </sheetViews>
  <sheetFormatPr baseColWidth="10" defaultRowHeight="14.25"/>
  <cols>
    <col min="2" max="2" width="24.75" customWidth="1"/>
    <col min="3" max="3" width="22.25" customWidth="1"/>
    <col min="4" max="4" width="25.75" bestFit="1" customWidth="1"/>
    <col min="5" max="5" width="13.625" bestFit="1" customWidth="1"/>
    <col min="6" max="6" width="16" bestFit="1" customWidth="1"/>
  </cols>
  <sheetData>
    <row r="1" spans="2:6" ht="31.5">
      <c r="B1" s="852" t="s">
        <v>1217</v>
      </c>
      <c r="C1" s="853"/>
      <c r="D1" s="770" t="s">
        <v>1218</v>
      </c>
      <c r="E1" s="837" t="s">
        <v>1232</v>
      </c>
      <c r="F1" s="837" t="s">
        <v>1233</v>
      </c>
    </row>
    <row r="2" spans="2:6" ht="20.100000000000001" customHeight="1">
      <c r="B2" s="805" t="s">
        <v>1139</v>
      </c>
      <c r="C2" s="804" t="s">
        <v>1223</v>
      </c>
      <c r="D2" s="793"/>
      <c r="E2" s="799"/>
      <c r="F2" s="799"/>
    </row>
    <row r="3" spans="2:6" ht="21.95" customHeight="1">
      <c r="B3" s="797" t="s">
        <v>1248</v>
      </c>
      <c r="C3" s="801" t="s">
        <v>1141</v>
      </c>
      <c r="D3" s="793" t="s">
        <v>1221</v>
      </c>
      <c r="E3" s="818">
        <f>+E40</f>
        <v>1084</v>
      </c>
      <c r="F3" s="799" t="e">
        <f>+F40</f>
        <v>#REF!</v>
      </c>
    </row>
    <row r="4" spans="2:6" ht="21.95" customHeight="1">
      <c r="B4" s="797" t="s">
        <v>1246</v>
      </c>
      <c r="C4" s="801" t="s">
        <v>1141</v>
      </c>
      <c r="D4" s="793" t="s">
        <v>1221</v>
      </c>
      <c r="E4" s="818">
        <f>+E54</f>
        <v>844</v>
      </c>
      <c r="F4" s="796" t="e">
        <f>+F54</f>
        <v>#REF!</v>
      </c>
    </row>
    <row r="5" spans="2:6" ht="21.95" customHeight="1">
      <c r="B5" s="797" t="s">
        <v>1247</v>
      </c>
      <c r="C5" s="801" t="s">
        <v>1141</v>
      </c>
      <c r="D5" s="793" t="s">
        <v>1221</v>
      </c>
      <c r="E5" s="818">
        <f>+E68</f>
        <v>764</v>
      </c>
      <c r="F5" s="799" t="e">
        <f>+F68</f>
        <v>#REF!</v>
      </c>
    </row>
    <row r="6" spans="2:6" ht="31.5">
      <c r="B6" s="852" t="s">
        <v>1249</v>
      </c>
      <c r="C6" s="853"/>
      <c r="D6" s="770" t="s">
        <v>1218</v>
      </c>
      <c r="E6" s="837" t="s">
        <v>1232</v>
      </c>
      <c r="F6" s="837" t="s">
        <v>1233</v>
      </c>
    </row>
    <row r="7" spans="2:6" ht="21.95" customHeight="1">
      <c r="B7" s="805" t="s">
        <v>1139</v>
      </c>
      <c r="C7" s="804" t="s">
        <v>1223</v>
      </c>
      <c r="D7" s="773"/>
      <c r="E7" s="800"/>
      <c r="F7" s="800"/>
    </row>
    <row r="8" spans="2:6" ht="21.95" customHeight="1">
      <c r="B8" s="797" t="s">
        <v>1141</v>
      </c>
      <c r="C8" s="801" t="s">
        <v>1145</v>
      </c>
      <c r="D8" s="793" t="s">
        <v>1221</v>
      </c>
      <c r="E8" s="818">
        <f>+E81</f>
        <v>566</v>
      </c>
      <c r="F8" s="799" t="e">
        <f>+F81</f>
        <v>#REF!</v>
      </c>
    </row>
    <row r="9" spans="2:6" ht="21.95" customHeight="1">
      <c r="B9" s="797" t="s">
        <v>1141</v>
      </c>
      <c r="C9" s="801" t="s">
        <v>1146</v>
      </c>
      <c r="D9" s="793" t="s">
        <v>1221</v>
      </c>
      <c r="E9" s="818">
        <f>+E93</f>
        <v>644</v>
      </c>
      <c r="F9" s="796" t="e">
        <f>+F93</f>
        <v>#REF!</v>
      </c>
    </row>
    <row r="10" spans="2:6" ht="21.95" customHeight="1">
      <c r="B10" s="797" t="s">
        <v>1141</v>
      </c>
      <c r="C10" s="801" t="s">
        <v>1147</v>
      </c>
      <c r="D10" s="793" t="s">
        <v>1221</v>
      </c>
      <c r="E10" s="818">
        <f>+E105</f>
        <v>545</v>
      </c>
      <c r="F10" s="799" t="e">
        <f>+F105</f>
        <v>#REF!</v>
      </c>
    </row>
    <row r="11" spans="2:6" ht="31.5">
      <c r="B11" s="852" t="s">
        <v>1250</v>
      </c>
      <c r="C11" s="853"/>
      <c r="D11" s="770" t="s">
        <v>1218</v>
      </c>
      <c r="E11" s="837" t="s">
        <v>1232</v>
      </c>
      <c r="F11" s="837" t="s">
        <v>1233</v>
      </c>
    </row>
    <row r="12" spans="2:6" ht="21.95" customHeight="1">
      <c r="B12" s="805" t="s">
        <v>1139</v>
      </c>
      <c r="C12" s="804" t="s">
        <v>1223</v>
      </c>
      <c r="D12" s="773"/>
      <c r="E12" s="800"/>
      <c r="F12" s="800"/>
    </row>
    <row r="13" spans="2:6" ht="21.95" customHeight="1">
      <c r="B13" s="797" t="s">
        <v>1135</v>
      </c>
      <c r="C13" s="801" t="s">
        <v>1214</v>
      </c>
      <c r="D13" s="793" t="s">
        <v>1221</v>
      </c>
      <c r="E13" s="818">
        <f>+E113</f>
        <v>480</v>
      </c>
      <c r="F13" s="799" t="e">
        <f>+F117</f>
        <v>#REF!</v>
      </c>
    </row>
    <row r="14" spans="2:6" ht="21.95" customHeight="1">
      <c r="B14" s="797" t="s">
        <v>1135</v>
      </c>
      <c r="C14" s="801" t="s">
        <v>1214</v>
      </c>
      <c r="D14" s="793" t="s">
        <v>1230</v>
      </c>
      <c r="E14" s="818">
        <f>+'AT 115kV'!G7</f>
        <v>200</v>
      </c>
      <c r="F14" s="799">
        <f>+'AT 115kV'!F17</f>
        <v>5009008425.2452831</v>
      </c>
    </row>
    <row r="15" spans="2:6" ht="21.95" customHeight="1">
      <c r="B15" s="828" t="s">
        <v>1266</v>
      </c>
      <c r="C15" s="794"/>
      <c r="D15" s="829"/>
      <c r="E15" s="830"/>
      <c r="F15" s="831" t="e">
        <f>SUM(F13:F14)</f>
        <v>#REF!</v>
      </c>
    </row>
    <row r="16" spans="2:6" ht="9" customHeight="1">
      <c r="B16" s="832"/>
      <c r="C16" s="833"/>
      <c r="D16" s="834"/>
      <c r="E16" s="835"/>
      <c r="F16" s="836"/>
    </row>
    <row r="17" spans="2:6" ht="21.95" customHeight="1">
      <c r="B17" s="805" t="s">
        <v>1139</v>
      </c>
      <c r="C17" s="804" t="s">
        <v>1223</v>
      </c>
      <c r="D17" s="773"/>
      <c r="E17" s="800"/>
      <c r="F17" s="800"/>
    </row>
    <row r="18" spans="2:6" ht="21.95" customHeight="1">
      <c r="B18" s="797" t="s">
        <v>1135</v>
      </c>
      <c r="C18" s="801" t="s">
        <v>1215</v>
      </c>
      <c r="D18" s="793" t="s">
        <v>1221</v>
      </c>
      <c r="E18" s="818" t="e">
        <f>+E129</f>
        <v>#REF!</v>
      </c>
      <c r="F18" s="796" t="e">
        <f>+F129</f>
        <v>#REF!</v>
      </c>
    </row>
    <row r="19" spans="2:6" ht="21.95" customHeight="1">
      <c r="B19" s="797" t="s">
        <v>1135</v>
      </c>
      <c r="C19" s="801" t="s">
        <v>1215</v>
      </c>
      <c r="D19" s="793" t="s">
        <v>1230</v>
      </c>
      <c r="E19" s="818">
        <f>+'AT 115kV'!G7</f>
        <v>200</v>
      </c>
      <c r="F19" s="796">
        <f>+'AT 115kV'!F17</f>
        <v>5009008425.2452831</v>
      </c>
    </row>
    <row r="20" spans="2:6" ht="21.95" customHeight="1">
      <c r="B20" s="828" t="s">
        <v>1267</v>
      </c>
      <c r="C20" s="794"/>
      <c r="D20" s="829"/>
      <c r="E20" s="830"/>
      <c r="F20" s="831" t="e">
        <f>SUM(F18:F19)</f>
        <v>#REF!</v>
      </c>
    </row>
    <row r="21" spans="2:6" ht="9" customHeight="1">
      <c r="B21" s="832"/>
      <c r="C21" s="833"/>
      <c r="D21" s="834"/>
      <c r="E21" s="835"/>
      <c r="F21" s="836"/>
    </row>
    <row r="22" spans="2:6" ht="21.95" customHeight="1">
      <c r="B22" s="805" t="s">
        <v>1139</v>
      </c>
      <c r="C22" s="804" t="s">
        <v>1223</v>
      </c>
      <c r="D22" s="773"/>
      <c r="E22" s="800"/>
      <c r="F22" s="800"/>
    </row>
    <row r="23" spans="2:6" ht="21.95" customHeight="1">
      <c r="B23" s="797" t="s">
        <v>1135</v>
      </c>
      <c r="C23" s="801" t="s">
        <v>1216</v>
      </c>
      <c r="D23" s="793" t="s">
        <v>1221</v>
      </c>
      <c r="E23" s="818">
        <f>+E141</f>
        <v>625</v>
      </c>
      <c r="F23" s="799" t="e">
        <f>+F141</f>
        <v>#REF!</v>
      </c>
    </row>
    <row r="24" spans="2:6" ht="21.95" customHeight="1">
      <c r="B24" s="797" t="s">
        <v>1135</v>
      </c>
      <c r="C24" s="801" t="s">
        <v>1216</v>
      </c>
      <c r="D24" s="793" t="s">
        <v>1230</v>
      </c>
      <c r="E24" s="818">
        <f>+'AT 115kV'!G7</f>
        <v>200</v>
      </c>
      <c r="F24" s="799">
        <f>+'AT 115kV'!F17</f>
        <v>5009008425.2452831</v>
      </c>
    </row>
    <row r="25" spans="2:6" ht="21.95" customHeight="1">
      <c r="B25" s="828" t="s">
        <v>1268</v>
      </c>
      <c r="C25" s="794"/>
      <c r="D25" s="829"/>
      <c r="E25" s="830"/>
      <c r="F25" s="831" t="e">
        <f>SUM(F23:F24)</f>
        <v>#REF!</v>
      </c>
    </row>
    <row r="29" spans="2:6" ht="20.100000000000001" customHeight="1">
      <c r="B29" s="851" t="s">
        <v>1231</v>
      </c>
      <c r="C29" s="851"/>
      <c r="D29" s="851"/>
      <c r="E29" s="851"/>
      <c r="F29" s="851"/>
    </row>
    <row r="30" spans="2:6" ht="47.25" customHeight="1">
      <c r="B30" s="852" t="s">
        <v>1235</v>
      </c>
      <c r="C30" s="853"/>
      <c r="D30" s="770" t="s">
        <v>1218</v>
      </c>
      <c r="E30" s="787" t="s">
        <v>1232</v>
      </c>
      <c r="F30" s="787" t="s">
        <v>1233</v>
      </c>
    </row>
    <row r="31" spans="2:6" ht="15.75">
      <c r="B31" s="771"/>
      <c r="C31" s="772"/>
      <c r="D31" s="773"/>
      <c r="E31" s="773"/>
      <c r="F31" s="658"/>
    </row>
    <row r="32" spans="2:6" ht="15.75">
      <c r="B32" s="794" t="s">
        <v>1220</v>
      </c>
      <c r="C32" s="794"/>
      <c r="D32" s="793"/>
      <c r="E32" s="796"/>
      <c r="F32" s="796"/>
    </row>
    <row r="33" spans="2:6" ht="15.75">
      <c r="B33" s="797" t="s">
        <v>1143</v>
      </c>
      <c r="C33" s="797"/>
      <c r="D33" s="793" t="s">
        <v>1221</v>
      </c>
      <c r="E33" s="713">
        <v>0</v>
      </c>
      <c r="F33" s="798">
        <v>0</v>
      </c>
    </row>
    <row r="34" spans="2:6" ht="15.75">
      <c r="B34" s="794" t="s">
        <v>1222</v>
      </c>
      <c r="C34" s="792"/>
      <c r="D34" s="793"/>
      <c r="E34" s="799"/>
      <c r="F34" s="799"/>
    </row>
    <row r="35" spans="2:6" ht="21" customHeight="1">
      <c r="B35" s="804" t="s">
        <v>1139</v>
      </c>
      <c r="C35" s="804" t="s">
        <v>1223</v>
      </c>
      <c r="D35" s="793"/>
      <c r="E35" s="799"/>
      <c r="F35" s="799"/>
    </row>
    <row r="36" spans="2:6" ht="15.75">
      <c r="B36" s="797" t="s">
        <v>1143</v>
      </c>
      <c r="C36" s="801" t="s">
        <v>1141</v>
      </c>
      <c r="D36" s="793" t="s">
        <v>1221</v>
      </c>
      <c r="E36" s="713">
        <f>+INTERFERENCIAS!F25</f>
        <v>800</v>
      </c>
      <c r="F36" s="799" t="e">
        <f>+INTERFERENCIAS!F26</f>
        <v>#REF!</v>
      </c>
    </row>
    <row r="37" spans="2:6" ht="15.75">
      <c r="B37" s="794" t="s">
        <v>1224</v>
      </c>
      <c r="C37" s="794"/>
      <c r="D37" s="793"/>
      <c r="E37" s="799"/>
      <c r="F37" s="799"/>
    </row>
    <row r="38" spans="2:6" ht="15.75">
      <c r="B38" s="797" t="s">
        <v>1141</v>
      </c>
      <c r="C38" s="797"/>
      <c r="D38" s="793" t="s">
        <v>1221</v>
      </c>
      <c r="E38" s="713">
        <f>+' ESTACIONES'!C7</f>
        <v>284</v>
      </c>
      <c r="F38" s="798">
        <f>+' ESTACIONES'!B7</f>
        <v>222592783</v>
      </c>
    </row>
    <row r="39" spans="2:6" ht="15.75">
      <c r="B39" s="797"/>
      <c r="C39" s="797"/>
      <c r="D39" s="793"/>
      <c r="E39" s="799"/>
      <c r="F39" s="798"/>
    </row>
    <row r="40" spans="2:6" ht="15.75">
      <c r="B40" s="794" t="s">
        <v>1234</v>
      </c>
      <c r="C40" s="794"/>
      <c r="D40" s="794"/>
      <c r="E40" s="802">
        <f>SUM(E33:E38)</f>
        <v>1084</v>
      </c>
      <c r="F40" s="803" t="e">
        <f>SUM(F33:F38)</f>
        <v>#REF!</v>
      </c>
    </row>
    <row r="41" spans="2:6" ht="15.75">
      <c r="B41" s="788"/>
      <c r="C41" s="788"/>
      <c r="D41" s="790"/>
      <c r="E41" s="791"/>
      <c r="F41" s="414"/>
    </row>
    <row r="42" spans="2:6" ht="15.75">
      <c r="B42" s="788"/>
      <c r="C42" s="788"/>
      <c r="D42" s="790"/>
      <c r="E42" s="791"/>
      <c r="F42" s="414"/>
    </row>
    <row r="43" spans="2:6" ht="15.75">
      <c r="B43" s="851" t="s">
        <v>1231</v>
      </c>
      <c r="C43" s="851"/>
      <c r="D43" s="851"/>
      <c r="E43" s="851"/>
      <c r="F43" s="851"/>
    </row>
    <row r="44" spans="2:6" ht="31.5">
      <c r="B44" s="852" t="s">
        <v>1236</v>
      </c>
      <c r="C44" s="853"/>
      <c r="D44" s="770" t="s">
        <v>1218</v>
      </c>
      <c r="E44" s="787" t="s">
        <v>1232</v>
      </c>
      <c r="F44" s="787" t="s">
        <v>1233</v>
      </c>
    </row>
    <row r="45" spans="2:6" ht="15.75">
      <c r="B45" s="771"/>
      <c r="C45" s="772"/>
      <c r="D45" s="773"/>
      <c r="E45" s="773"/>
      <c r="F45" s="658"/>
    </row>
    <row r="46" spans="2:6" ht="15.75">
      <c r="B46" s="794" t="s">
        <v>1220</v>
      </c>
      <c r="C46" s="794"/>
      <c r="D46" s="793"/>
      <c r="E46" s="796"/>
      <c r="F46" s="796"/>
    </row>
    <row r="47" spans="2:6" ht="15.75">
      <c r="B47" s="797" t="s">
        <v>1144</v>
      </c>
      <c r="C47" s="797"/>
      <c r="D47" s="793" t="s">
        <v>1221</v>
      </c>
      <c r="E47" s="713">
        <v>0</v>
      </c>
      <c r="F47" s="798">
        <v>0</v>
      </c>
    </row>
    <row r="48" spans="2:6" ht="15.75">
      <c r="B48" s="794" t="s">
        <v>1222</v>
      </c>
      <c r="C48" s="792"/>
      <c r="D48" s="793"/>
      <c r="E48" s="799"/>
      <c r="F48" s="799"/>
    </row>
    <row r="49" spans="2:6" ht="18" customHeight="1">
      <c r="B49" s="805" t="s">
        <v>1139</v>
      </c>
      <c r="C49" s="804" t="s">
        <v>1223</v>
      </c>
      <c r="D49" s="793"/>
      <c r="E49" s="799"/>
      <c r="F49" s="799"/>
    </row>
    <row r="50" spans="2:6" ht="15.75">
      <c r="B50" s="797" t="s">
        <v>1144</v>
      </c>
      <c r="C50" s="801" t="s">
        <v>1141</v>
      </c>
      <c r="D50" s="793" t="s">
        <v>1221</v>
      </c>
      <c r="E50" s="713">
        <f>+INTERFERENCIAS!F43</f>
        <v>560</v>
      </c>
      <c r="F50" s="799" t="e">
        <f>+INTERFERENCIAS!F44</f>
        <v>#REF!</v>
      </c>
    </row>
    <row r="51" spans="2:6" ht="15.75">
      <c r="B51" s="794" t="s">
        <v>1224</v>
      </c>
      <c r="C51" s="794"/>
      <c r="D51" s="793"/>
      <c r="E51" s="799"/>
      <c r="F51" s="799"/>
    </row>
    <row r="52" spans="2:6" ht="15.75">
      <c r="B52" s="797" t="s">
        <v>1141</v>
      </c>
      <c r="C52" s="797"/>
      <c r="D52" s="793" t="s">
        <v>1221</v>
      </c>
      <c r="E52" s="713">
        <f>+' ESTACIONES'!C7</f>
        <v>284</v>
      </c>
      <c r="F52" s="798">
        <f>+' ESTACIONES'!B7</f>
        <v>222592783</v>
      </c>
    </row>
    <row r="53" spans="2:6" ht="15.75">
      <c r="B53" s="797"/>
      <c r="C53" s="797"/>
      <c r="D53" s="793"/>
      <c r="E53" s="799"/>
      <c r="F53" s="798"/>
    </row>
    <row r="54" spans="2:6" ht="15.75">
      <c r="B54" s="794" t="s">
        <v>1234</v>
      </c>
      <c r="C54" s="794"/>
      <c r="D54" s="794"/>
      <c r="E54" s="802">
        <f>SUM(E47:E52)</f>
        <v>844</v>
      </c>
      <c r="F54" s="803" t="e">
        <f>SUM(F47:F52)</f>
        <v>#REF!</v>
      </c>
    </row>
    <row r="55" spans="2:6" ht="15.75">
      <c r="B55" s="788"/>
      <c r="C55" s="788"/>
      <c r="D55" s="790"/>
      <c r="E55" s="791"/>
      <c r="F55" s="414"/>
    </row>
    <row r="56" spans="2:6" ht="15.75">
      <c r="B56" s="788"/>
      <c r="C56" s="788"/>
      <c r="D56" s="790"/>
      <c r="E56" s="791"/>
      <c r="F56" s="414"/>
    </row>
    <row r="57" spans="2:6" ht="15.75">
      <c r="B57" s="851" t="s">
        <v>1231</v>
      </c>
      <c r="C57" s="851"/>
      <c r="D57" s="851"/>
      <c r="E57" s="851"/>
      <c r="F57" s="851"/>
    </row>
    <row r="58" spans="2:6" ht="31.5">
      <c r="B58" s="852" t="s">
        <v>1239</v>
      </c>
      <c r="C58" s="853"/>
      <c r="D58" s="770" t="s">
        <v>1218</v>
      </c>
      <c r="E58" s="787" t="s">
        <v>1232</v>
      </c>
      <c r="F58" s="787" t="s">
        <v>1233</v>
      </c>
    </row>
    <row r="59" spans="2:6" ht="15.75">
      <c r="B59" s="771"/>
      <c r="C59" s="772"/>
      <c r="D59" s="773"/>
      <c r="E59" s="773"/>
      <c r="F59" s="658"/>
    </row>
    <row r="60" spans="2:6" ht="15.75">
      <c r="B60" s="794" t="s">
        <v>1220</v>
      </c>
      <c r="C60" s="794"/>
      <c r="D60" s="793"/>
      <c r="E60" s="796"/>
      <c r="F60" s="796"/>
    </row>
    <row r="61" spans="2:6" ht="15.75">
      <c r="B61" s="797" t="s">
        <v>1142</v>
      </c>
      <c r="C61" s="797"/>
      <c r="D61" s="793" t="s">
        <v>1221</v>
      </c>
      <c r="E61" s="713">
        <v>0</v>
      </c>
      <c r="F61" s="798">
        <v>0</v>
      </c>
    </row>
    <row r="62" spans="2:6" ht="15.75">
      <c r="B62" s="794" t="s">
        <v>1222</v>
      </c>
      <c r="C62" s="792"/>
      <c r="D62" s="793"/>
      <c r="E62" s="799"/>
      <c r="F62" s="799"/>
    </row>
    <row r="63" spans="2:6" ht="15">
      <c r="B63" s="805" t="s">
        <v>1139</v>
      </c>
      <c r="C63" s="804" t="s">
        <v>1223</v>
      </c>
      <c r="D63" s="793"/>
      <c r="E63" s="799"/>
      <c r="F63" s="799"/>
    </row>
    <row r="64" spans="2:6" ht="15.75">
      <c r="B64" s="797" t="s">
        <v>1142</v>
      </c>
      <c r="C64" s="801" t="s">
        <v>1141</v>
      </c>
      <c r="D64" s="793" t="s">
        <v>1221</v>
      </c>
      <c r="E64" s="713">
        <f>+INTERFERENCIAS!F61</f>
        <v>480</v>
      </c>
      <c r="F64" s="799" t="e">
        <f>+INTERFERENCIAS!F62</f>
        <v>#REF!</v>
      </c>
    </row>
    <row r="65" spans="2:6" ht="15.75">
      <c r="B65" s="794" t="s">
        <v>1224</v>
      </c>
      <c r="C65" s="794"/>
      <c r="D65" s="793"/>
      <c r="E65" s="799"/>
      <c r="F65" s="799"/>
    </row>
    <row r="66" spans="2:6" ht="15.75">
      <c r="B66" s="797" t="s">
        <v>1141</v>
      </c>
      <c r="C66" s="797"/>
      <c r="D66" s="793" t="s">
        <v>1221</v>
      </c>
      <c r="E66" s="713">
        <f>+' ESTACIONES'!C7</f>
        <v>284</v>
      </c>
      <c r="F66" s="798">
        <f>+' ESTACIONES'!B7</f>
        <v>222592783</v>
      </c>
    </row>
    <row r="67" spans="2:6" ht="15.75">
      <c r="B67" s="797"/>
      <c r="C67" s="797"/>
      <c r="D67" s="793"/>
      <c r="E67" s="799"/>
      <c r="F67" s="798"/>
    </row>
    <row r="68" spans="2:6" ht="15.75">
      <c r="B68" s="794" t="s">
        <v>1234</v>
      </c>
      <c r="C68" s="794"/>
      <c r="D68" s="794"/>
      <c r="E68" s="802">
        <f>SUM(E61:E66)</f>
        <v>764</v>
      </c>
      <c r="F68" s="803" t="e">
        <f>SUM(F61:F66)</f>
        <v>#REF!</v>
      </c>
    </row>
    <row r="69" spans="2:6" ht="15.75">
      <c r="B69" s="788"/>
      <c r="C69" s="788"/>
      <c r="D69" s="790"/>
      <c r="E69" s="791"/>
      <c r="F69" s="414"/>
    </row>
    <row r="70" spans="2:6" ht="15.75">
      <c r="B70" s="788"/>
      <c r="C70" s="788"/>
      <c r="D70" s="790"/>
      <c r="E70" s="791"/>
      <c r="F70" s="414"/>
    </row>
    <row r="71" spans="2:6" ht="15.75">
      <c r="B71" s="788"/>
      <c r="C71" s="788"/>
      <c r="D71" s="790"/>
      <c r="E71" s="791"/>
      <c r="F71" s="414"/>
    </row>
    <row r="72" spans="2:6" ht="15.75">
      <c r="B72" s="851" t="s">
        <v>1231</v>
      </c>
      <c r="C72" s="851"/>
      <c r="D72" s="851"/>
      <c r="E72" s="851"/>
      <c r="F72" s="851"/>
    </row>
    <row r="73" spans="2:6" ht="31.5">
      <c r="B73" s="852" t="s">
        <v>1241</v>
      </c>
      <c r="C73" s="853"/>
      <c r="D73" s="770" t="s">
        <v>1218</v>
      </c>
      <c r="E73" s="787" t="s">
        <v>1232</v>
      </c>
      <c r="F73" s="787" t="s">
        <v>1233</v>
      </c>
    </row>
    <row r="74" spans="2:6" ht="15.75">
      <c r="B74" s="771"/>
      <c r="C74" s="772"/>
      <c r="D74" s="773"/>
      <c r="E74" s="773"/>
      <c r="F74" s="658"/>
    </row>
    <row r="75" spans="2:6" ht="15.75">
      <c r="B75" s="794" t="s">
        <v>1222</v>
      </c>
      <c r="C75" s="792"/>
      <c r="D75" s="793"/>
      <c r="E75" s="799"/>
      <c r="F75" s="799"/>
    </row>
    <row r="76" spans="2:6" ht="15">
      <c r="B76" s="805" t="s">
        <v>1139</v>
      </c>
      <c r="C76" s="804" t="s">
        <v>1223</v>
      </c>
      <c r="D76" s="793"/>
      <c r="E76" s="799"/>
      <c r="F76" s="799"/>
    </row>
    <row r="77" spans="2:6" ht="15.75">
      <c r="B77" s="776" t="s">
        <v>1141</v>
      </c>
      <c r="C77" s="782" t="s">
        <v>1145</v>
      </c>
      <c r="D77" s="793" t="s">
        <v>1221</v>
      </c>
      <c r="E77" s="713">
        <f>+INTERFERENCIAS!F80</f>
        <v>480</v>
      </c>
      <c r="F77" s="799" t="e">
        <f>+INTERFERENCIAS!F81</f>
        <v>#REF!</v>
      </c>
    </row>
    <row r="78" spans="2:6" ht="15.75">
      <c r="B78" s="794" t="s">
        <v>1226</v>
      </c>
      <c r="C78" s="794"/>
      <c r="D78" s="793"/>
      <c r="E78" s="799"/>
      <c r="F78" s="799"/>
    </row>
    <row r="79" spans="2:6" ht="15.75">
      <c r="B79" s="806" t="s">
        <v>1145</v>
      </c>
      <c r="C79" s="797"/>
      <c r="D79" s="793" t="s">
        <v>1221</v>
      </c>
      <c r="E79" s="713">
        <f>+' ESTACIONES'!E8</f>
        <v>86</v>
      </c>
      <c r="F79" s="798">
        <f>+' ESTACIONES'!D8</f>
        <v>76027191</v>
      </c>
    </row>
    <row r="80" spans="2:6" ht="15.75">
      <c r="B80" s="797"/>
      <c r="C80" s="797"/>
      <c r="D80" s="793"/>
      <c r="E80" s="799"/>
      <c r="F80" s="798"/>
    </row>
    <row r="81" spans="2:6" ht="15.75">
      <c r="B81" s="794" t="s">
        <v>1234</v>
      </c>
      <c r="C81" s="794"/>
      <c r="D81" s="794"/>
      <c r="E81" s="802">
        <f>SUM(E75:E79)</f>
        <v>566</v>
      </c>
      <c r="F81" s="803" t="e">
        <f>SUM(F75:F79)</f>
        <v>#REF!</v>
      </c>
    </row>
    <row r="82" spans="2:6" ht="15.75">
      <c r="B82" s="788"/>
      <c r="C82" s="788"/>
      <c r="D82" s="790"/>
      <c r="E82" s="791"/>
      <c r="F82" s="414"/>
    </row>
    <row r="83" spans="2:6" ht="15.75">
      <c r="B83" s="788"/>
      <c r="C83" s="788"/>
      <c r="D83" s="790"/>
      <c r="E83" s="791"/>
      <c r="F83" s="414"/>
    </row>
    <row r="84" spans="2:6" ht="15.75">
      <c r="B84" s="851" t="s">
        <v>1231</v>
      </c>
      <c r="C84" s="851"/>
      <c r="D84" s="851"/>
      <c r="E84" s="851"/>
      <c r="F84" s="851"/>
    </row>
    <row r="85" spans="2:6" ht="31.5">
      <c r="B85" s="852" t="s">
        <v>1240</v>
      </c>
      <c r="C85" s="853"/>
      <c r="D85" s="770" t="s">
        <v>1218</v>
      </c>
      <c r="E85" s="787" t="s">
        <v>1232</v>
      </c>
      <c r="F85" s="787" t="s">
        <v>1233</v>
      </c>
    </row>
    <row r="86" spans="2:6" ht="15.75">
      <c r="B86" s="771"/>
      <c r="C86" s="772"/>
      <c r="D86" s="773"/>
      <c r="E86" s="773"/>
      <c r="F86" s="658"/>
    </row>
    <row r="87" spans="2:6" ht="15.75">
      <c r="B87" s="794" t="s">
        <v>1222</v>
      </c>
      <c r="C87" s="792"/>
      <c r="D87" s="793"/>
      <c r="E87" s="799"/>
      <c r="F87" s="799"/>
    </row>
    <row r="88" spans="2:6" ht="15">
      <c r="B88" s="805" t="s">
        <v>1139</v>
      </c>
      <c r="C88" s="804" t="s">
        <v>1223</v>
      </c>
      <c r="D88" s="793"/>
      <c r="E88" s="799"/>
      <c r="F88" s="799"/>
    </row>
    <row r="89" spans="2:6" ht="15.75">
      <c r="B89" s="776" t="s">
        <v>1141</v>
      </c>
      <c r="C89" s="782" t="s">
        <v>1146</v>
      </c>
      <c r="D89" s="793" t="s">
        <v>1221</v>
      </c>
      <c r="E89" s="713">
        <f>+INTERFERENCIAS!F99</f>
        <v>560</v>
      </c>
      <c r="F89" s="799" t="e">
        <f>+INTERFERENCIAS!F100</f>
        <v>#REF!</v>
      </c>
    </row>
    <row r="90" spans="2:6" ht="15.75">
      <c r="B90" s="794" t="s">
        <v>1226</v>
      </c>
      <c r="C90" s="794"/>
      <c r="D90" s="793"/>
      <c r="E90" s="799"/>
      <c r="F90" s="799"/>
    </row>
    <row r="91" spans="2:6" ht="15.75">
      <c r="B91" s="806" t="s">
        <v>1146</v>
      </c>
      <c r="C91" s="797"/>
      <c r="D91" s="793" t="s">
        <v>1221</v>
      </c>
      <c r="E91" s="713">
        <f>+' ESTACIONES'!G8</f>
        <v>84</v>
      </c>
      <c r="F91" s="798">
        <f>+' ESTACIONES'!F8</f>
        <v>93270695</v>
      </c>
    </row>
    <row r="92" spans="2:6" ht="15.75">
      <c r="B92" s="797"/>
      <c r="C92" s="797"/>
      <c r="D92" s="793"/>
      <c r="E92" s="799"/>
      <c r="F92" s="798"/>
    </row>
    <row r="93" spans="2:6" ht="15.75">
      <c r="B93" s="794" t="s">
        <v>1234</v>
      </c>
      <c r="C93" s="794"/>
      <c r="D93" s="794"/>
      <c r="E93" s="802">
        <f>SUM(E87:E91)</f>
        <v>644</v>
      </c>
      <c r="F93" s="803" t="e">
        <f>SUM(F87:F91)</f>
        <v>#REF!</v>
      </c>
    </row>
    <row r="94" spans="2:6" ht="15.75">
      <c r="B94" s="788"/>
      <c r="C94" s="788"/>
      <c r="D94" s="790"/>
      <c r="E94" s="791"/>
      <c r="F94" s="414"/>
    </row>
    <row r="95" spans="2:6" ht="15.75">
      <c r="B95" s="788"/>
      <c r="C95" s="788"/>
      <c r="D95" s="790"/>
      <c r="E95" s="791"/>
      <c r="F95" s="414"/>
    </row>
    <row r="96" spans="2:6" ht="15.75">
      <c r="B96" s="851" t="s">
        <v>1231</v>
      </c>
      <c r="C96" s="851"/>
      <c r="D96" s="851"/>
      <c r="E96" s="851"/>
      <c r="F96" s="851"/>
    </row>
    <row r="97" spans="2:6" ht="31.5">
      <c r="B97" s="852" t="s">
        <v>1242</v>
      </c>
      <c r="C97" s="853"/>
      <c r="D97" s="770" t="s">
        <v>1218</v>
      </c>
      <c r="E97" s="787" t="s">
        <v>1232</v>
      </c>
      <c r="F97" s="787" t="s">
        <v>1233</v>
      </c>
    </row>
    <row r="98" spans="2:6" ht="15.75">
      <c r="B98" s="771"/>
      <c r="C98" s="772"/>
      <c r="D98" s="773"/>
      <c r="E98" s="773"/>
      <c r="F98" s="658"/>
    </row>
    <row r="99" spans="2:6" ht="15.75">
      <c r="B99" s="794" t="s">
        <v>1222</v>
      </c>
      <c r="C99" s="792"/>
      <c r="D99" s="793"/>
      <c r="E99" s="799"/>
      <c r="F99" s="799"/>
    </row>
    <row r="100" spans="2:6" ht="15">
      <c r="B100" s="805" t="s">
        <v>1139</v>
      </c>
      <c r="C100" s="804" t="s">
        <v>1223</v>
      </c>
      <c r="D100" s="793"/>
      <c r="E100" s="799"/>
      <c r="F100" s="799"/>
    </row>
    <row r="101" spans="2:6" ht="15.75">
      <c r="B101" s="776" t="s">
        <v>1141</v>
      </c>
      <c r="C101" s="782" t="s">
        <v>1147</v>
      </c>
      <c r="D101" s="793" t="s">
        <v>1221</v>
      </c>
      <c r="E101" s="713">
        <f>+INTERFERENCIAS!F116</f>
        <v>400</v>
      </c>
      <c r="F101" s="799" t="e">
        <f>+INTERFERENCIAS!F117</f>
        <v>#REF!</v>
      </c>
    </row>
    <row r="102" spans="2:6" ht="15.75">
      <c r="B102" s="794" t="s">
        <v>1226</v>
      </c>
      <c r="C102" s="794"/>
      <c r="D102" s="793"/>
      <c r="E102" s="799"/>
      <c r="F102" s="799"/>
    </row>
    <row r="103" spans="2:6" ht="15.75">
      <c r="B103" s="806" t="s">
        <v>1147</v>
      </c>
      <c r="C103" s="797"/>
      <c r="D103" s="793" t="s">
        <v>1221</v>
      </c>
      <c r="E103" s="713">
        <f>+' ESTACIONES'!K8</f>
        <v>145</v>
      </c>
      <c r="F103" s="798">
        <f>+' ESTACIONES'!J8</f>
        <v>127048085</v>
      </c>
    </row>
    <row r="104" spans="2:6" ht="15.75">
      <c r="B104" s="797"/>
      <c r="C104" s="797"/>
      <c r="D104" s="793"/>
      <c r="E104" s="799"/>
      <c r="F104" s="798"/>
    </row>
    <row r="105" spans="2:6" ht="15.75">
      <c r="B105" s="794" t="s">
        <v>1234</v>
      </c>
      <c r="C105" s="794"/>
      <c r="D105" s="794"/>
      <c r="E105" s="802">
        <f>SUM(E99:E103)</f>
        <v>545</v>
      </c>
      <c r="F105" s="803" t="e">
        <f>SUM(F99:F103)</f>
        <v>#REF!</v>
      </c>
    </row>
    <row r="106" spans="2:6" ht="15.75">
      <c r="B106" s="788"/>
      <c r="C106" s="788"/>
      <c r="D106" s="790"/>
      <c r="E106" s="791"/>
      <c r="F106" s="414"/>
    </row>
    <row r="107" spans="2:6" ht="15.75">
      <c r="B107" s="788"/>
      <c r="C107" s="788"/>
      <c r="D107" s="790"/>
      <c r="E107" s="791"/>
      <c r="F107" s="414"/>
    </row>
    <row r="108" spans="2:6" ht="15.75">
      <c r="B108" s="851" t="s">
        <v>1231</v>
      </c>
      <c r="C108" s="851"/>
      <c r="D108" s="851"/>
      <c r="E108" s="851"/>
      <c r="F108" s="851"/>
    </row>
    <row r="109" spans="2:6" ht="31.5">
      <c r="B109" s="852" t="s">
        <v>1243</v>
      </c>
      <c r="C109" s="853"/>
      <c r="D109" s="770" t="s">
        <v>1218</v>
      </c>
      <c r="E109" s="787" t="s">
        <v>1232</v>
      </c>
      <c r="F109" s="787" t="s">
        <v>1233</v>
      </c>
    </row>
    <row r="110" spans="2:6" ht="15.75">
      <c r="B110" s="771"/>
      <c r="C110" s="772"/>
      <c r="D110" s="773"/>
      <c r="E110" s="773"/>
      <c r="F110" s="658"/>
    </row>
    <row r="111" spans="2:6" ht="15.75">
      <c r="B111" s="794" t="s">
        <v>1222</v>
      </c>
      <c r="C111" s="792"/>
      <c r="D111" s="793"/>
      <c r="E111" s="799"/>
      <c r="F111" s="799"/>
    </row>
    <row r="112" spans="2:6" ht="15">
      <c r="B112" s="805" t="s">
        <v>1139</v>
      </c>
      <c r="C112" s="804" t="s">
        <v>1223</v>
      </c>
      <c r="D112" s="793"/>
      <c r="E112" s="799"/>
      <c r="F112" s="799"/>
    </row>
    <row r="113" spans="2:6" ht="15.75">
      <c r="B113" s="776" t="s">
        <v>1135</v>
      </c>
      <c r="C113" s="780" t="s">
        <v>1214</v>
      </c>
      <c r="D113" s="793" t="s">
        <v>1221</v>
      </c>
      <c r="E113" s="713">
        <f>+INTERFERENCIAS!F134</f>
        <v>480</v>
      </c>
      <c r="F113" s="799" t="e">
        <f>+INTERFERENCIAS!F135</f>
        <v>#REF!</v>
      </c>
    </row>
    <row r="114" spans="2:6" ht="15.75">
      <c r="B114" s="794" t="s">
        <v>1226</v>
      </c>
      <c r="C114" s="794"/>
      <c r="D114" s="793"/>
      <c r="E114" s="799"/>
      <c r="F114" s="799"/>
    </row>
    <row r="115" spans="2:6" ht="15.75">
      <c r="B115" s="780" t="s">
        <v>1214</v>
      </c>
      <c r="C115" s="797"/>
      <c r="D115" s="793" t="s">
        <v>1221</v>
      </c>
      <c r="E115" s="713" t="e">
        <f>+' ESTACIONES'!C9</f>
        <v>#REF!</v>
      </c>
      <c r="F115" s="798">
        <v>0</v>
      </c>
    </row>
    <row r="116" spans="2:6" ht="15.75">
      <c r="B116" s="797"/>
      <c r="C116" s="797"/>
      <c r="D116" s="793"/>
      <c r="E116" s="799"/>
      <c r="F116" s="798"/>
    </row>
    <row r="117" spans="2:6" ht="15.75">
      <c r="B117" s="794" t="s">
        <v>1234</v>
      </c>
      <c r="C117" s="794"/>
      <c r="D117" s="794"/>
      <c r="E117" s="802" t="e">
        <f>SUM(E111:E115)</f>
        <v>#REF!</v>
      </c>
      <c r="F117" s="803" t="e">
        <f>SUM(F111:F115)</f>
        <v>#REF!</v>
      </c>
    </row>
    <row r="118" spans="2:6" ht="15.75">
      <c r="B118" s="788"/>
      <c r="C118" s="788"/>
      <c r="D118" s="790"/>
      <c r="E118" s="791"/>
      <c r="F118" s="414"/>
    </row>
    <row r="119" spans="2:6" ht="15.75">
      <c r="B119" s="788"/>
      <c r="C119" s="788"/>
      <c r="D119" s="790"/>
      <c r="E119" s="791"/>
      <c r="F119" s="414"/>
    </row>
    <row r="120" spans="2:6" ht="15.75">
      <c r="B120" s="851" t="s">
        <v>1231</v>
      </c>
      <c r="C120" s="851"/>
      <c r="D120" s="851"/>
      <c r="E120" s="851"/>
      <c r="F120" s="851"/>
    </row>
    <row r="121" spans="2:6" ht="31.5">
      <c r="B121" s="852" t="s">
        <v>1244</v>
      </c>
      <c r="C121" s="853"/>
      <c r="D121" s="770" t="s">
        <v>1218</v>
      </c>
      <c r="E121" s="787" t="s">
        <v>1232</v>
      </c>
      <c r="F121" s="787" t="s">
        <v>1233</v>
      </c>
    </row>
    <row r="122" spans="2:6" ht="15.75">
      <c r="B122" s="771"/>
      <c r="C122" s="772"/>
      <c r="D122" s="773"/>
      <c r="E122" s="773"/>
      <c r="F122" s="658"/>
    </row>
    <row r="123" spans="2:6" ht="15.75">
      <c r="B123" s="794" t="s">
        <v>1222</v>
      </c>
      <c r="C123" s="792"/>
      <c r="D123" s="793"/>
      <c r="E123" s="799"/>
      <c r="F123" s="799"/>
    </row>
    <row r="124" spans="2:6" ht="15">
      <c r="B124" s="805" t="s">
        <v>1139</v>
      </c>
      <c r="C124" s="804" t="s">
        <v>1223</v>
      </c>
      <c r="D124" s="793"/>
      <c r="E124" s="799"/>
      <c r="F124" s="799"/>
    </row>
    <row r="125" spans="2:6" ht="15.75">
      <c r="B125" s="776" t="s">
        <v>1135</v>
      </c>
      <c r="C125" s="780" t="s">
        <v>1215</v>
      </c>
      <c r="D125" s="793" t="s">
        <v>1221</v>
      </c>
      <c r="E125" s="713">
        <f>+INTERFERENCIAS!F153</f>
        <v>560</v>
      </c>
      <c r="F125" s="799" t="e">
        <f>+INTERFERENCIAS!F154</f>
        <v>#REF!</v>
      </c>
    </row>
    <row r="126" spans="2:6" ht="15.75">
      <c r="B126" s="794" t="s">
        <v>1226</v>
      </c>
      <c r="C126" s="794"/>
      <c r="D126" s="793"/>
      <c r="E126" s="799"/>
      <c r="F126" s="799"/>
    </row>
    <row r="127" spans="2:6" ht="15.75">
      <c r="B127" s="780" t="s">
        <v>1215</v>
      </c>
      <c r="C127" s="797"/>
      <c r="D127" s="793" t="s">
        <v>1221</v>
      </c>
      <c r="E127" s="713" t="e">
        <f>+' ESTACIONES'!E9</f>
        <v>#REF!</v>
      </c>
      <c r="F127" s="798">
        <v>0</v>
      </c>
    </row>
    <row r="128" spans="2:6" ht="15.75">
      <c r="B128" s="797"/>
      <c r="C128" s="797"/>
      <c r="D128" s="793"/>
      <c r="E128" s="799"/>
      <c r="F128" s="798"/>
    </row>
    <row r="129" spans="2:6" ht="15.75">
      <c r="B129" s="794" t="s">
        <v>1234</v>
      </c>
      <c r="C129" s="794"/>
      <c r="D129" s="794"/>
      <c r="E129" s="802" t="e">
        <f>SUM(E123:E127)</f>
        <v>#REF!</v>
      </c>
      <c r="F129" s="803" t="e">
        <f>SUM(F123:F127)</f>
        <v>#REF!</v>
      </c>
    </row>
    <row r="130" spans="2:6" ht="15.75">
      <c r="B130" s="788"/>
      <c r="C130" s="788"/>
      <c r="D130" s="790"/>
      <c r="E130" s="791"/>
      <c r="F130" s="414"/>
    </row>
    <row r="131" spans="2:6" ht="15.75">
      <c r="B131" s="788"/>
      <c r="C131" s="788"/>
      <c r="D131" s="790"/>
      <c r="E131" s="791"/>
      <c r="F131" s="414"/>
    </row>
    <row r="132" spans="2:6" ht="15.75">
      <c r="B132" s="851" t="s">
        <v>1231</v>
      </c>
      <c r="C132" s="851"/>
      <c r="D132" s="851"/>
      <c r="E132" s="851"/>
      <c r="F132" s="851"/>
    </row>
    <row r="133" spans="2:6" ht="31.5">
      <c r="B133" s="852" t="s">
        <v>1245</v>
      </c>
      <c r="C133" s="853"/>
      <c r="D133" s="770" t="s">
        <v>1218</v>
      </c>
      <c r="E133" s="787" t="s">
        <v>1232</v>
      </c>
      <c r="F133" s="787" t="s">
        <v>1233</v>
      </c>
    </row>
    <row r="134" spans="2:6" ht="15.75">
      <c r="B134" s="771"/>
      <c r="C134" s="772"/>
      <c r="D134" s="773"/>
      <c r="E134" s="773"/>
      <c r="F134" s="658"/>
    </row>
    <row r="135" spans="2:6" ht="15.75">
      <c r="B135" s="794" t="s">
        <v>1222</v>
      </c>
      <c r="C135" s="792"/>
      <c r="D135" s="793"/>
      <c r="E135" s="799"/>
      <c r="F135" s="799"/>
    </row>
    <row r="136" spans="2:6" ht="15">
      <c r="B136" s="805" t="s">
        <v>1139</v>
      </c>
      <c r="C136" s="804" t="s">
        <v>1223</v>
      </c>
      <c r="D136" s="793"/>
      <c r="E136" s="799"/>
      <c r="F136" s="799"/>
    </row>
    <row r="137" spans="2:6" ht="15.75">
      <c r="B137" s="776" t="s">
        <v>1135</v>
      </c>
      <c r="C137" s="780" t="s">
        <v>1216</v>
      </c>
      <c r="D137" s="793" t="s">
        <v>1221</v>
      </c>
      <c r="E137" s="713">
        <f>+INTERFERENCIAS!F172</f>
        <v>560</v>
      </c>
      <c r="F137" s="799" t="e">
        <f>+INTERFERENCIAS!F173</f>
        <v>#REF!</v>
      </c>
    </row>
    <row r="138" spans="2:6" ht="15.75">
      <c r="B138" s="794" t="s">
        <v>1226</v>
      </c>
      <c r="C138" s="794"/>
      <c r="D138" s="793"/>
      <c r="E138" s="799"/>
      <c r="F138" s="799"/>
    </row>
    <row r="139" spans="2:6" ht="15.75">
      <c r="B139" s="780" t="s">
        <v>1216</v>
      </c>
      <c r="C139" s="797"/>
      <c r="D139" s="793" t="s">
        <v>1221</v>
      </c>
      <c r="E139" s="713">
        <f>+' ESTACIONES'!G9</f>
        <v>65</v>
      </c>
      <c r="F139" s="798">
        <f>+' ESTACIONES'!F9</f>
        <v>78007615</v>
      </c>
    </row>
    <row r="140" spans="2:6" ht="15.75">
      <c r="B140" s="797"/>
      <c r="C140" s="797"/>
      <c r="D140" s="793"/>
      <c r="E140" s="799"/>
      <c r="F140" s="798"/>
    </row>
    <row r="141" spans="2:6" ht="15.75">
      <c r="B141" s="794" t="s">
        <v>1234</v>
      </c>
      <c r="C141" s="794"/>
      <c r="D141" s="794"/>
      <c r="E141" s="802">
        <f>SUM(E135:E139)</f>
        <v>625</v>
      </c>
      <c r="F141" s="803" t="e">
        <f>SUM(F135:F139)</f>
        <v>#REF!</v>
      </c>
    </row>
    <row r="142" spans="2:6" ht="15.75">
      <c r="B142" s="788"/>
      <c r="C142" s="788"/>
      <c r="D142" s="790"/>
      <c r="E142" s="791"/>
      <c r="F142" s="414"/>
    </row>
    <row r="143" spans="2:6" ht="15.75">
      <c r="B143" s="788"/>
      <c r="C143" s="788"/>
      <c r="D143" s="790"/>
      <c r="E143" s="791"/>
      <c r="F143" s="414"/>
    </row>
    <row r="144" spans="2:6" ht="15.75">
      <c r="B144" s="788"/>
      <c r="C144" s="789"/>
      <c r="D144" s="790"/>
      <c r="E144" s="791"/>
    </row>
    <row r="145" spans="2:5" ht="15.75">
      <c r="B145" s="788"/>
      <c r="C145" s="789"/>
      <c r="D145" s="790"/>
      <c r="E145" s="791"/>
    </row>
    <row r="146" spans="2:5" ht="15.75">
      <c r="B146" s="848" t="s">
        <v>1231</v>
      </c>
      <c r="C146" s="850"/>
      <c r="D146" s="850"/>
      <c r="E146" s="849"/>
    </row>
    <row r="147" spans="2:5" ht="15.75">
      <c r="B147" s="767"/>
      <c r="C147" s="767"/>
      <c r="D147" s="766"/>
      <c r="E147" s="766"/>
    </row>
    <row r="148" spans="2:5" ht="15.75">
      <c r="B148" s="768" t="s">
        <v>1217</v>
      </c>
      <c r="C148" s="769"/>
      <c r="D148" s="770" t="s">
        <v>1218</v>
      </c>
      <c r="E148" s="770" t="s">
        <v>1219</v>
      </c>
    </row>
    <row r="149" spans="2:5" ht="15.75">
      <c r="B149" s="771"/>
      <c r="C149" s="772"/>
      <c r="D149" s="773"/>
      <c r="E149" s="773"/>
    </row>
    <row r="150" spans="2:5" ht="15.75">
      <c r="B150" s="774" t="s">
        <v>1220</v>
      </c>
      <c r="C150" s="774"/>
      <c r="D150" s="775"/>
      <c r="E150" s="775"/>
    </row>
    <row r="151" spans="2:5" ht="15.75">
      <c r="B151" s="776" t="s">
        <v>1143</v>
      </c>
      <c r="C151" s="776"/>
      <c r="D151" s="777" t="s">
        <v>1221</v>
      </c>
      <c r="E151" s="692">
        <v>1</v>
      </c>
    </row>
    <row r="152" spans="2:5" ht="15.75">
      <c r="B152" s="778" t="s">
        <v>1144</v>
      </c>
      <c r="C152" s="778"/>
      <c r="D152" s="777" t="s">
        <v>1221</v>
      </c>
      <c r="E152" s="692">
        <v>1</v>
      </c>
    </row>
    <row r="153" spans="2:5" ht="15.75">
      <c r="B153" s="778" t="s">
        <v>1142</v>
      </c>
      <c r="C153" s="778"/>
      <c r="D153" s="777" t="s">
        <v>1221</v>
      </c>
      <c r="E153" s="692">
        <v>1</v>
      </c>
    </row>
    <row r="154" spans="2:5" ht="15.75">
      <c r="B154" s="778"/>
      <c r="C154" s="778"/>
      <c r="D154" s="777"/>
      <c r="E154" s="692"/>
    </row>
    <row r="155" spans="2:5" ht="15.75">
      <c r="B155" s="848" t="s">
        <v>1222</v>
      </c>
      <c r="C155" s="849"/>
      <c r="D155" s="775"/>
      <c r="E155" s="779"/>
    </row>
    <row r="156" spans="2:5" ht="15.75">
      <c r="B156" s="774" t="s">
        <v>1139</v>
      </c>
      <c r="C156" s="787" t="s">
        <v>1223</v>
      </c>
      <c r="D156" s="775"/>
      <c r="E156" s="779"/>
    </row>
    <row r="157" spans="2:5" ht="15.75">
      <c r="B157" s="776" t="s">
        <v>1143</v>
      </c>
      <c r="C157" s="780" t="s">
        <v>1141</v>
      </c>
      <c r="D157" s="777" t="s">
        <v>1221</v>
      </c>
      <c r="E157" s="692">
        <v>3</v>
      </c>
    </row>
    <row r="158" spans="2:5" ht="15.75">
      <c r="B158" s="778" t="s">
        <v>1144</v>
      </c>
      <c r="C158" s="780" t="s">
        <v>1141</v>
      </c>
      <c r="D158" s="777" t="s">
        <v>1221</v>
      </c>
      <c r="E158" s="692">
        <v>5</v>
      </c>
    </row>
    <row r="159" spans="2:5" ht="15.75">
      <c r="B159" s="778" t="s">
        <v>1142</v>
      </c>
      <c r="C159" s="780" t="s">
        <v>1141</v>
      </c>
      <c r="D159" s="777" t="s">
        <v>1221</v>
      </c>
      <c r="E159" s="692">
        <v>7</v>
      </c>
    </row>
    <row r="160" spans="2:5" ht="15.75">
      <c r="B160" s="778"/>
      <c r="C160" s="780"/>
      <c r="D160" s="777"/>
      <c r="E160" s="692"/>
    </row>
    <row r="161" spans="2:5" ht="15.75">
      <c r="B161" s="774" t="s">
        <v>1224</v>
      </c>
      <c r="C161" s="774"/>
      <c r="D161" s="775"/>
      <c r="E161" s="779"/>
    </row>
    <row r="162" spans="2:5" ht="15.75">
      <c r="B162" s="776" t="s">
        <v>1141</v>
      </c>
      <c r="C162" s="776"/>
      <c r="D162" s="777" t="s">
        <v>1221</v>
      </c>
      <c r="E162" s="692">
        <v>1</v>
      </c>
    </row>
    <row r="163" spans="2:5" ht="15.75">
      <c r="B163" s="776" t="s">
        <v>1141</v>
      </c>
      <c r="C163" s="778"/>
      <c r="D163" s="777" t="s">
        <v>1221</v>
      </c>
      <c r="E163" s="692">
        <v>1</v>
      </c>
    </row>
    <row r="164" spans="2:5" ht="15.75">
      <c r="B164" s="776" t="s">
        <v>1141</v>
      </c>
      <c r="C164" s="778"/>
      <c r="D164" s="777" t="s">
        <v>1221</v>
      </c>
      <c r="E164" s="692">
        <v>1</v>
      </c>
    </row>
    <row r="165" spans="2:5" ht="15.75">
      <c r="B165" s="788"/>
      <c r="C165" s="789"/>
      <c r="D165" s="790"/>
      <c r="E165" s="791"/>
    </row>
    <row r="166" spans="2:5">
      <c r="B166" s="617"/>
      <c r="C166" s="617"/>
      <c r="D166" s="617"/>
      <c r="E166" s="617"/>
    </row>
    <row r="167" spans="2:5" ht="15.75">
      <c r="B167" s="768" t="s">
        <v>1225</v>
      </c>
      <c r="C167" s="769"/>
      <c r="D167" s="770" t="s">
        <v>1218</v>
      </c>
      <c r="E167" s="770" t="s">
        <v>1219</v>
      </c>
    </row>
    <row r="168" spans="2:5" ht="15.75">
      <c r="B168" s="771"/>
      <c r="C168" s="772"/>
      <c r="D168" s="773"/>
      <c r="E168" s="773"/>
    </row>
    <row r="169" spans="2:5" ht="15.75">
      <c r="B169" s="848" t="s">
        <v>1222</v>
      </c>
      <c r="C169" s="849"/>
      <c r="D169" s="775"/>
      <c r="E169" s="779"/>
    </row>
    <row r="170" spans="2:5" ht="15.75">
      <c r="B170" s="774" t="s">
        <v>1139</v>
      </c>
      <c r="C170" s="774" t="s">
        <v>1223</v>
      </c>
      <c r="D170" s="775"/>
      <c r="E170" s="779"/>
    </row>
    <row r="171" spans="2:5">
      <c r="B171" s="781" t="s">
        <v>1141</v>
      </c>
      <c r="C171" s="782" t="s">
        <v>1145</v>
      </c>
      <c r="D171" s="777" t="s">
        <v>1221</v>
      </c>
      <c r="E171" s="692">
        <v>5</v>
      </c>
    </row>
    <row r="172" spans="2:5">
      <c r="B172" s="781" t="s">
        <v>1141</v>
      </c>
      <c r="C172" s="782" t="s">
        <v>1146</v>
      </c>
      <c r="D172" s="777" t="s">
        <v>1221</v>
      </c>
      <c r="E172" s="692">
        <v>3</v>
      </c>
    </row>
    <row r="173" spans="2:5">
      <c r="B173" s="781" t="s">
        <v>1141</v>
      </c>
      <c r="C173" s="782" t="s">
        <v>1147</v>
      </c>
      <c r="D173" s="777" t="s">
        <v>1221</v>
      </c>
      <c r="E173" s="692">
        <v>7</v>
      </c>
    </row>
    <row r="174" spans="2:5" ht="15.75">
      <c r="B174" s="778"/>
      <c r="C174" s="780"/>
      <c r="D174" s="777"/>
      <c r="E174" s="692"/>
    </row>
    <row r="175" spans="2:5" ht="15.75">
      <c r="B175" s="774" t="s">
        <v>1226</v>
      </c>
      <c r="C175" s="774"/>
      <c r="D175" s="775"/>
      <c r="E175" s="779"/>
    </row>
    <row r="176" spans="2:5" ht="15.75">
      <c r="B176" s="782" t="s">
        <v>1145</v>
      </c>
      <c r="C176" s="776"/>
      <c r="D176" s="777" t="s">
        <v>1221</v>
      </c>
      <c r="E176" s="692">
        <v>1</v>
      </c>
    </row>
    <row r="177" spans="2:5" ht="15.75">
      <c r="B177" s="782" t="s">
        <v>1146</v>
      </c>
      <c r="C177" s="778"/>
      <c r="D177" s="777" t="s">
        <v>1221</v>
      </c>
      <c r="E177" s="692">
        <v>1</v>
      </c>
    </row>
    <row r="178" spans="2:5" ht="15.75">
      <c r="B178" s="782" t="s">
        <v>1147</v>
      </c>
      <c r="C178" s="778"/>
      <c r="D178" s="777" t="s">
        <v>1221</v>
      </c>
      <c r="E178" s="692">
        <v>1</v>
      </c>
    </row>
    <row r="179" spans="2:5">
      <c r="B179" s="617"/>
      <c r="C179" s="617"/>
      <c r="D179" s="617"/>
      <c r="E179" s="617"/>
    </row>
    <row r="180" spans="2:5">
      <c r="B180" s="617"/>
      <c r="C180" s="617"/>
      <c r="D180" s="617"/>
      <c r="E180" s="617"/>
    </row>
    <row r="181" spans="2:5" ht="15.75">
      <c r="B181" s="768" t="s">
        <v>1227</v>
      </c>
      <c r="C181" s="769"/>
      <c r="D181" s="770" t="s">
        <v>1218</v>
      </c>
      <c r="E181" s="770" t="s">
        <v>1219</v>
      </c>
    </row>
    <row r="182" spans="2:5" ht="15.75">
      <c r="B182" s="768" t="s">
        <v>1228</v>
      </c>
      <c r="C182" s="769"/>
      <c r="D182" s="770"/>
      <c r="E182" s="770"/>
    </row>
    <row r="183" spans="2:5" ht="15.75">
      <c r="B183" s="771"/>
      <c r="C183" s="772"/>
      <c r="D183" s="773"/>
      <c r="E183" s="773"/>
    </row>
    <row r="184" spans="2:5" ht="15.75">
      <c r="B184" s="848" t="s">
        <v>1222</v>
      </c>
      <c r="C184" s="849"/>
      <c r="D184" s="775"/>
      <c r="E184" s="779"/>
    </row>
    <row r="185" spans="2:5" ht="15.75">
      <c r="B185" s="774" t="s">
        <v>1139</v>
      </c>
      <c r="C185" s="774" t="s">
        <v>1223</v>
      </c>
      <c r="D185" s="775"/>
      <c r="E185" s="779"/>
    </row>
    <row r="186" spans="2:5" ht="15.75">
      <c r="B186" s="776" t="s">
        <v>1135</v>
      </c>
      <c r="C186" s="780" t="s">
        <v>1214</v>
      </c>
      <c r="D186" s="777" t="s">
        <v>1221</v>
      </c>
      <c r="E186" s="692">
        <v>7</v>
      </c>
    </row>
    <row r="187" spans="2:5" ht="15.75">
      <c r="B187" s="776" t="s">
        <v>1135</v>
      </c>
      <c r="C187" s="780" t="s">
        <v>1215</v>
      </c>
      <c r="D187" s="777" t="s">
        <v>1221</v>
      </c>
      <c r="E187" s="692">
        <v>5</v>
      </c>
    </row>
    <row r="188" spans="2:5" ht="15.75">
      <c r="B188" s="776" t="s">
        <v>1135</v>
      </c>
      <c r="C188" s="780" t="s">
        <v>1216</v>
      </c>
      <c r="D188" s="777" t="s">
        <v>1221</v>
      </c>
      <c r="E188" s="692">
        <v>5</v>
      </c>
    </row>
    <row r="189" spans="2:5" ht="15.75">
      <c r="B189" s="778"/>
      <c r="C189" s="780"/>
      <c r="D189" s="777"/>
      <c r="E189" s="692"/>
    </row>
    <row r="190" spans="2:5" ht="15.75">
      <c r="B190" s="774" t="s">
        <v>1226</v>
      </c>
      <c r="C190" s="774"/>
      <c r="D190" s="775"/>
      <c r="E190" s="779"/>
    </row>
    <row r="191" spans="2:5" ht="15.75">
      <c r="B191" s="780" t="s">
        <v>1214</v>
      </c>
      <c r="C191" s="776"/>
      <c r="D191" s="777" t="s">
        <v>1221</v>
      </c>
      <c r="E191" s="692">
        <v>7</v>
      </c>
    </row>
    <row r="192" spans="2:5" ht="15.75">
      <c r="B192" s="780" t="s">
        <v>1215</v>
      </c>
      <c r="C192" s="778"/>
      <c r="D192" s="777" t="s">
        <v>1221</v>
      </c>
      <c r="E192" s="692">
        <v>7</v>
      </c>
    </row>
    <row r="193" spans="2:5" ht="15.75">
      <c r="B193" s="780" t="s">
        <v>1216</v>
      </c>
      <c r="C193" s="778"/>
      <c r="D193" s="777" t="s">
        <v>1221</v>
      </c>
      <c r="E193" s="692">
        <v>3</v>
      </c>
    </row>
    <row r="194" spans="2:5">
      <c r="B194" s="783"/>
      <c r="C194" s="783"/>
      <c r="D194" s="783"/>
      <c r="E194" s="783"/>
    </row>
    <row r="195" spans="2:5" ht="15.75">
      <c r="B195" s="768" t="s">
        <v>1229</v>
      </c>
      <c r="C195" s="769"/>
      <c r="D195" s="770" t="s">
        <v>1218</v>
      </c>
      <c r="E195" s="770" t="s">
        <v>1219</v>
      </c>
    </row>
    <row r="196" spans="2:5" ht="15.75">
      <c r="B196" s="768" t="s">
        <v>1228</v>
      </c>
      <c r="C196" s="769"/>
      <c r="D196" s="770"/>
      <c r="E196" s="770"/>
    </row>
    <row r="197" spans="2:5" ht="15.75">
      <c r="B197" s="784"/>
      <c r="C197" s="785"/>
      <c r="D197" s="786"/>
      <c r="E197" s="786"/>
    </row>
    <row r="198" spans="2:5" ht="15.75">
      <c r="B198" s="848" t="s">
        <v>1222</v>
      </c>
      <c r="C198" s="849"/>
      <c r="D198" s="775"/>
      <c r="E198" s="779"/>
    </row>
    <row r="199" spans="2:5" ht="15.75">
      <c r="B199" s="774" t="s">
        <v>1139</v>
      </c>
      <c r="C199" s="774" t="s">
        <v>1223</v>
      </c>
      <c r="D199" s="775"/>
      <c r="E199" s="779"/>
    </row>
    <row r="200" spans="2:5" ht="15.75">
      <c r="B200" s="776" t="s">
        <v>1135</v>
      </c>
      <c r="C200" s="780" t="s">
        <v>1214</v>
      </c>
      <c r="D200" s="777" t="s">
        <v>1230</v>
      </c>
      <c r="E200" s="692">
        <v>1</v>
      </c>
    </row>
    <row r="201" spans="2:5" ht="15.75">
      <c r="B201" s="776" t="s">
        <v>1135</v>
      </c>
      <c r="C201" s="780" t="s">
        <v>1215</v>
      </c>
      <c r="D201" s="777" t="s">
        <v>1230</v>
      </c>
      <c r="E201" s="692">
        <v>1</v>
      </c>
    </row>
    <row r="202" spans="2:5" ht="15.75">
      <c r="B202" s="776" t="s">
        <v>1135</v>
      </c>
      <c r="C202" s="780" t="s">
        <v>1216</v>
      </c>
      <c r="D202" s="777" t="s">
        <v>1230</v>
      </c>
      <c r="E202" s="692">
        <v>1</v>
      </c>
    </row>
    <row r="203" spans="2:5" ht="15.75">
      <c r="B203" s="778"/>
      <c r="C203" s="780"/>
      <c r="D203" s="777"/>
      <c r="E203" s="692"/>
    </row>
  </sheetData>
  <mergeCells count="26">
    <mergeCell ref="B108:F108"/>
    <mergeCell ref="B109:C109"/>
    <mergeCell ref="B43:F43"/>
    <mergeCell ref="B44:C44"/>
    <mergeCell ref="B57:F57"/>
    <mergeCell ref="B1:C1"/>
    <mergeCell ref="B6:C6"/>
    <mergeCell ref="B11:C11"/>
    <mergeCell ref="B84:F84"/>
    <mergeCell ref="B85:C85"/>
    <mergeCell ref="B198:C198"/>
    <mergeCell ref="B146:E146"/>
    <mergeCell ref="B155:C155"/>
    <mergeCell ref="B29:F29"/>
    <mergeCell ref="B30:C30"/>
    <mergeCell ref="B58:C58"/>
    <mergeCell ref="B72:F72"/>
    <mergeCell ref="B73:C73"/>
    <mergeCell ref="B169:C169"/>
    <mergeCell ref="B184:C184"/>
    <mergeCell ref="B120:F120"/>
    <mergeCell ref="B121:C121"/>
    <mergeCell ref="B132:F132"/>
    <mergeCell ref="B133:C133"/>
    <mergeCell ref="B96:F96"/>
    <mergeCell ref="B97:C97"/>
  </mergeCells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48"/>
  <sheetViews>
    <sheetView workbookViewId="0">
      <selection activeCell="A10" sqref="A10"/>
    </sheetView>
  </sheetViews>
  <sheetFormatPr baseColWidth="10" defaultRowHeight="14.25"/>
  <cols>
    <col min="1" max="1" width="5.375" customWidth="1"/>
    <col min="2" max="2" width="49.875" customWidth="1"/>
    <col min="6" max="6" width="11.625" bestFit="1" customWidth="1"/>
  </cols>
  <sheetData>
    <row r="2" spans="1:9" ht="15">
      <c r="A2" s="854" t="s">
        <v>1175</v>
      </c>
      <c r="B2" s="854"/>
      <c r="C2" s="854"/>
      <c r="D2" s="854"/>
      <c r="E2" s="854"/>
      <c r="F2" s="854"/>
    </row>
    <row r="3" spans="1:9" ht="15">
      <c r="A3" s="656"/>
      <c r="B3" s="656" t="s">
        <v>1149</v>
      </c>
      <c r="C3" s="656"/>
      <c r="D3" s="656"/>
      <c r="E3" s="656"/>
      <c r="F3" s="656"/>
      <c r="G3" s="324"/>
      <c r="H3" s="324"/>
    </row>
    <row r="4" spans="1:9" ht="16.5">
      <c r="A4" s="635"/>
      <c r="B4" s="638" t="s">
        <v>728</v>
      </c>
      <c r="C4" s="649" t="str">
        <f>+VLOOKUP(B4,ITEMS!A$4:C$101,2,0)</f>
        <v>Un</v>
      </c>
      <c r="D4" s="639">
        <v>5</v>
      </c>
      <c r="E4" s="637">
        <f>+VLOOKUP(B4,ITEMS!A$4:D$101,3,0)</f>
        <v>244296</v>
      </c>
      <c r="F4" s="637">
        <f t="shared" ref="F4:F13" si="0">+D4*E4</f>
        <v>1221480</v>
      </c>
      <c r="G4" s="324" t="s">
        <v>1155</v>
      </c>
      <c r="H4" s="324"/>
    </row>
    <row r="5" spans="1:9" ht="45">
      <c r="A5" s="635"/>
      <c r="B5" s="687" t="s">
        <v>1173</v>
      </c>
      <c r="C5" s="649" t="str">
        <f>+VLOOKUP(B5,ITEMS!A$4:C$101,2,0)</f>
        <v>m</v>
      </c>
      <c r="D5" s="639">
        <v>100</v>
      </c>
      <c r="E5" s="637">
        <f>+VLOOKUP(B5,ITEMS!A$4:D$101,3,0)</f>
        <v>7935</v>
      </c>
      <c r="F5" s="637">
        <f t="shared" si="0"/>
        <v>793500</v>
      </c>
      <c r="G5" s="324"/>
      <c r="H5" s="324"/>
      <c r="I5" s="324"/>
    </row>
    <row r="6" spans="1:9" ht="16.5">
      <c r="A6" s="640"/>
      <c r="B6" s="641" t="s">
        <v>1174</v>
      </c>
      <c r="C6" s="642"/>
      <c r="D6" s="642"/>
      <c r="E6" s="640"/>
      <c r="F6" s="643">
        <f>SUM(F4:F5)</f>
        <v>2014980</v>
      </c>
      <c r="G6" s="324"/>
      <c r="H6" s="324"/>
      <c r="I6" s="324"/>
    </row>
    <row r="7" spans="1:9" ht="15">
      <c r="A7" s="352"/>
      <c r="B7" s="685"/>
      <c r="C7" s="677" t="s">
        <v>1152</v>
      </c>
      <c r="D7" s="677"/>
      <c r="E7" s="677"/>
      <c r="F7" s="659">
        <f>+D5</f>
        <v>100</v>
      </c>
      <c r="G7" s="324"/>
      <c r="H7" s="324"/>
      <c r="I7" s="324"/>
    </row>
    <row r="8" spans="1:9" ht="15">
      <c r="A8" s="352"/>
      <c r="B8" s="685"/>
      <c r="C8" s="855" t="s">
        <v>1151</v>
      </c>
      <c r="D8" s="855"/>
      <c r="E8" s="855"/>
      <c r="F8" s="660">
        <f>+ROUND(F6/F7,0)</f>
        <v>20150</v>
      </c>
      <c r="G8" s="324"/>
      <c r="H8" s="324"/>
      <c r="I8" s="324"/>
    </row>
    <row r="9" spans="1:9" ht="16.5">
      <c r="A9" s="352"/>
      <c r="B9" s="685"/>
      <c r="C9" s="644"/>
      <c r="D9" s="686"/>
      <c r="E9" s="645"/>
      <c r="F9" s="645"/>
      <c r="G9" s="324"/>
      <c r="H9" s="324"/>
      <c r="I9" s="324"/>
    </row>
    <row r="10" spans="1:9" ht="16.5">
      <c r="A10" s="352"/>
      <c r="B10" s="685"/>
      <c r="C10" s="644"/>
      <c r="D10" s="686"/>
      <c r="E10" s="645"/>
      <c r="F10" s="645"/>
      <c r="G10" s="324"/>
      <c r="H10" s="324"/>
      <c r="I10" s="324"/>
    </row>
    <row r="11" spans="1:9" ht="15">
      <c r="A11" s="856" t="s">
        <v>1176</v>
      </c>
      <c r="B11" s="856"/>
      <c r="C11" s="856"/>
      <c r="D11" s="856"/>
      <c r="E11" s="856"/>
      <c r="F11" s="856"/>
      <c r="G11" s="324"/>
      <c r="H11" s="324"/>
      <c r="I11" s="324"/>
    </row>
    <row r="12" spans="1:9" ht="28.5">
      <c r="A12" s="635"/>
      <c r="B12" s="688" t="s">
        <v>757</v>
      </c>
      <c r="C12" s="649" t="str">
        <f>+VLOOKUP(B12,ITEMS!A$4:C$101,2,0)</f>
        <v>Un</v>
      </c>
      <c r="D12" s="639">
        <v>4</v>
      </c>
      <c r="E12" s="637">
        <f>+VLOOKUP(B12,ITEMS!A$4:D$101,3,0)</f>
        <v>473263</v>
      </c>
      <c r="F12" s="637">
        <f t="shared" si="0"/>
        <v>1893052</v>
      </c>
      <c r="G12" s="324" t="s">
        <v>1156</v>
      </c>
      <c r="H12" s="324"/>
      <c r="I12" s="324"/>
    </row>
    <row r="13" spans="1:9" ht="28.5">
      <c r="A13" s="681"/>
      <c r="B13" s="438" t="s">
        <v>766</v>
      </c>
      <c r="C13" s="311" t="str">
        <f>+VLOOKUP(B13,ITEMS!A$4:C$101,2,0)</f>
        <v>Un</v>
      </c>
      <c r="D13" s="683">
        <v>1</v>
      </c>
      <c r="E13" s="313">
        <f>+VLOOKUP(B13,ITEMS!A$4:D$101,3,0)</f>
        <v>507107</v>
      </c>
      <c r="F13" s="684">
        <f t="shared" si="0"/>
        <v>507107</v>
      </c>
      <c r="G13" s="324"/>
      <c r="H13" s="324"/>
    </row>
    <row r="14" spans="1:9" ht="16.5">
      <c r="A14" s="635"/>
      <c r="B14" s="638" t="s">
        <v>729</v>
      </c>
      <c r="C14" s="311" t="str">
        <f>+VLOOKUP(B14,ITEMS!A$4:C$101,2,0)</f>
        <v>Un</v>
      </c>
      <c r="D14" s="639">
        <v>5</v>
      </c>
      <c r="E14" s="313">
        <f>+VLOOKUP(B14,ITEMS!A$4:D$101,3,0)</f>
        <v>906298</v>
      </c>
      <c r="F14" s="637">
        <f>+D14*E14</f>
        <v>4531490</v>
      </c>
      <c r="G14" s="324"/>
      <c r="H14" s="324"/>
    </row>
    <row r="15" spans="1:9" ht="16.5">
      <c r="A15" s="635"/>
      <c r="B15" s="638" t="s">
        <v>759</v>
      </c>
      <c r="C15" s="311" t="str">
        <f>+VLOOKUP(B15,ITEMS!A$4:C$101,2,0)</f>
        <v>m</v>
      </c>
      <c r="D15" s="639">
        <v>100</v>
      </c>
      <c r="E15" s="313">
        <f>+VLOOKUP(B15,ITEMS!A$4:D$101,3,0)</f>
        <v>28135</v>
      </c>
      <c r="F15" s="637">
        <f>+D15*E15</f>
        <v>2813500</v>
      </c>
      <c r="G15" s="324"/>
      <c r="H15" s="324"/>
    </row>
    <row r="16" spans="1:9" ht="16.5">
      <c r="A16" s="635"/>
      <c r="B16" s="638"/>
      <c r="C16" s="636"/>
      <c r="D16" s="639"/>
      <c r="E16" s="637"/>
      <c r="F16" s="637"/>
      <c r="G16" s="324"/>
    </row>
    <row r="17" spans="1:12" ht="16.5">
      <c r="A17" s="640"/>
      <c r="B17" s="641" t="s">
        <v>1174</v>
      </c>
      <c r="C17" s="642"/>
      <c r="D17" s="642"/>
      <c r="E17" s="640"/>
      <c r="F17" s="643">
        <f>SUM(F12:F16)</f>
        <v>9745149</v>
      </c>
      <c r="G17" s="324"/>
    </row>
    <row r="18" spans="1:12" ht="15">
      <c r="A18" s="352"/>
      <c r="B18" s="353"/>
      <c r="C18" s="677" t="s">
        <v>1152</v>
      </c>
      <c r="D18" s="677"/>
      <c r="E18" s="677"/>
      <c r="F18" s="659">
        <f>+D15</f>
        <v>100</v>
      </c>
      <c r="G18" s="324"/>
      <c r="H18" s="324"/>
    </row>
    <row r="19" spans="1:12" ht="15">
      <c r="A19" s="352"/>
      <c r="B19" s="353"/>
      <c r="C19" s="855" t="s">
        <v>1151</v>
      </c>
      <c r="D19" s="855"/>
      <c r="E19" s="855"/>
      <c r="F19" s="660">
        <f>+ROUND(F17/F18,0)</f>
        <v>97451</v>
      </c>
      <c r="G19" s="324"/>
      <c r="H19" s="324"/>
    </row>
    <row r="20" spans="1:12" ht="15">
      <c r="A20" s="352"/>
      <c r="B20" s="353"/>
      <c r="G20" s="324"/>
      <c r="H20" s="324"/>
    </row>
    <row r="21" spans="1:12" ht="16.5">
      <c r="A21" s="352"/>
      <c r="B21" s="353"/>
      <c r="C21" s="354"/>
      <c r="D21" s="354"/>
      <c r="E21" s="352"/>
      <c r="F21" s="355"/>
      <c r="G21" s="324"/>
      <c r="H21" s="324"/>
    </row>
    <row r="22" spans="1:12" ht="16.5">
      <c r="A22" s="352"/>
      <c r="B22" s="353"/>
      <c r="C22" s="354"/>
      <c r="D22" s="354"/>
      <c r="E22" s="352"/>
      <c r="F22" s="355"/>
      <c r="G22" s="324"/>
      <c r="H22" s="324"/>
    </row>
    <row r="23" spans="1:12" ht="15">
      <c r="A23" s="856" t="s">
        <v>1177</v>
      </c>
      <c r="B23" s="856" t="s">
        <v>1177</v>
      </c>
      <c r="C23" s="856"/>
      <c r="D23" s="856"/>
      <c r="E23" s="856"/>
      <c r="F23" s="856"/>
      <c r="G23" s="324"/>
      <c r="H23" s="324"/>
    </row>
    <row r="24" spans="1:12" ht="16.5">
      <c r="A24" s="640"/>
      <c r="B24" s="646" t="s">
        <v>760</v>
      </c>
      <c r="C24" s="647"/>
      <c r="D24" s="642"/>
      <c r="E24" s="648"/>
      <c r="F24" s="648"/>
      <c r="G24" s="324"/>
      <c r="H24" s="324"/>
    </row>
    <row r="25" spans="1:12" ht="16.5">
      <c r="A25" s="635"/>
      <c r="B25" s="657" t="s">
        <v>761</v>
      </c>
      <c r="C25" s="649" t="str">
        <f>+VLOOKUP(B25,ITEMS!A$4:C$101,2,0)</f>
        <v>Un</v>
      </c>
      <c r="D25" s="639">
        <v>1</v>
      </c>
      <c r="E25" s="637">
        <f>+VLOOKUP(B25,ITEMS!A$4:D$101,3,0)</f>
        <v>85167</v>
      </c>
      <c r="F25" s="637">
        <f t="shared" ref="F25" si="1">+D25*E25</f>
        <v>85167</v>
      </c>
      <c r="G25" s="324"/>
      <c r="H25" s="324"/>
      <c r="I25" s="324"/>
    </row>
    <row r="26" spans="1:12" ht="16.5">
      <c r="A26" s="635"/>
      <c r="B26" s="638"/>
      <c r="C26" s="649"/>
      <c r="D26" s="655"/>
      <c r="E26" s="637"/>
      <c r="F26" s="637"/>
      <c r="G26" s="324"/>
      <c r="H26" s="324"/>
      <c r="I26" s="324"/>
      <c r="J26" s="324"/>
    </row>
    <row r="27" spans="1:12" ht="16.5">
      <c r="A27" s="640"/>
      <c r="B27" s="641" t="s">
        <v>1150</v>
      </c>
      <c r="C27" s="642"/>
      <c r="D27" s="642"/>
      <c r="E27" s="640"/>
      <c r="F27" s="643">
        <f>SUM(F25:F26)</f>
        <v>85167</v>
      </c>
      <c r="G27" s="324"/>
      <c r="H27" s="324"/>
    </row>
    <row r="28" spans="1:12">
      <c r="A28" s="351"/>
      <c r="B28" s="351"/>
      <c r="C28" s="351"/>
      <c r="D28" s="351"/>
      <c r="E28" s="351"/>
      <c r="F28" s="351"/>
      <c r="G28" s="654"/>
      <c r="H28" s="654"/>
      <c r="I28" s="654"/>
    </row>
    <row r="29" spans="1:12">
      <c r="A29" s="351"/>
      <c r="B29" s="351"/>
      <c r="C29" s="351"/>
      <c r="D29" s="351"/>
      <c r="E29" s="351"/>
      <c r="F29" s="351"/>
      <c r="G29" s="324"/>
      <c r="H29" s="324"/>
      <c r="I29" s="324"/>
      <c r="J29" s="324"/>
      <c r="K29" s="324"/>
      <c r="L29" s="324"/>
    </row>
    <row r="30" spans="1:12">
      <c r="A30" s="351"/>
      <c r="B30" s="351"/>
      <c r="C30" s="351"/>
      <c r="D30" s="351"/>
      <c r="E30" s="351"/>
      <c r="F30" s="351"/>
      <c r="G30" s="324"/>
      <c r="H30" s="324"/>
      <c r="I30" s="324"/>
      <c r="J30" s="324"/>
      <c r="K30" s="324"/>
      <c r="L30" s="324"/>
    </row>
    <row r="31" spans="1:12" ht="16.5">
      <c r="A31" s="640"/>
      <c r="B31" s="646" t="s">
        <v>760</v>
      </c>
      <c r="C31" s="647"/>
      <c r="D31" s="642"/>
      <c r="E31" s="648"/>
      <c r="F31" s="648"/>
      <c r="G31" s="324"/>
      <c r="H31" s="324"/>
      <c r="J31" s="324"/>
      <c r="K31" s="324"/>
      <c r="L31" s="324"/>
    </row>
    <row r="32" spans="1:12" ht="28.5">
      <c r="A32" s="635"/>
      <c r="B32" s="492" t="s">
        <v>1157</v>
      </c>
      <c r="C32" s="311" t="str">
        <f>+VLOOKUP(B32,ITEMS!A$4:C$101,2,0)</f>
        <v>Un</v>
      </c>
      <c r="D32" s="639">
        <v>1</v>
      </c>
      <c r="E32" s="313">
        <f>+VLOOKUP(B32,ITEMS!A$4:D$101,3,0)</f>
        <v>795107</v>
      </c>
      <c r="F32" s="637">
        <f t="shared" ref="F32" si="2">+D32*E32</f>
        <v>795107</v>
      </c>
      <c r="G32" s="324" t="s">
        <v>1178</v>
      </c>
      <c r="H32" s="324"/>
      <c r="I32" s="324"/>
      <c r="J32" s="324"/>
      <c r="K32" s="324"/>
      <c r="L32" s="324"/>
    </row>
    <row r="33" spans="1:12" ht="16.5">
      <c r="A33" s="635"/>
      <c r="B33" s="650"/>
      <c r="C33" s="651"/>
      <c r="D33" s="652"/>
      <c r="E33" s="653"/>
      <c r="F33" s="637"/>
      <c r="G33" s="324"/>
      <c r="H33" s="324"/>
      <c r="J33" s="324"/>
      <c r="K33" s="324"/>
      <c r="L33" s="324"/>
    </row>
    <row r="34" spans="1:12" ht="16.5">
      <c r="A34" s="640"/>
      <c r="B34" s="641" t="s">
        <v>1150</v>
      </c>
      <c r="C34" s="642"/>
      <c r="D34" s="642"/>
      <c r="E34" s="640"/>
      <c r="F34" s="643">
        <f>SUM(F32:F33)</f>
        <v>795107</v>
      </c>
      <c r="G34" s="324"/>
      <c r="H34" s="324"/>
      <c r="J34" s="324"/>
      <c r="K34" s="324"/>
      <c r="L34" s="324"/>
    </row>
    <row r="35" spans="1:12">
      <c r="A35" s="351"/>
      <c r="B35" s="351"/>
      <c r="C35" s="351"/>
      <c r="D35" s="351"/>
      <c r="E35" s="351"/>
      <c r="F35" s="351"/>
      <c r="G35" s="324"/>
      <c r="H35" s="324"/>
      <c r="J35" s="324"/>
      <c r="K35" s="324"/>
      <c r="L35" s="324"/>
    </row>
    <row r="36" spans="1:12">
      <c r="A36" s="351"/>
      <c r="B36" s="351"/>
      <c r="C36" s="351"/>
      <c r="D36" s="351"/>
      <c r="E36" s="351"/>
      <c r="F36" s="351"/>
      <c r="G36" s="324"/>
      <c r="H36" s="324"/>
      <c r="I36" s="324"/>
      <c r="J36" s="324"/>
      <c r="K36" s="324"/>
      <c r="L36" s="324"/>
    </row>
    <row r="37" spans="1:12" ht="16.5">
      <c r="A37" s="352"/>
      <c r="B37" s="353"/>
      <c r="C37" s="354"/>
      <c r="D37" s="354"/>
      <c r="E37" s="352"/>
      <c r="F37" s="355"/>
      <c r="G37" s="654"/>
      <c r="H37" s="324"/>
      <c r="I37" s="324"/>
      <c r="J37" s="324"/>
      <c r="K37" s="324"/>
      <c r="L37" s="324"/>
    </row>
    <row r="38" spans="1:12" ht="16.5">
      <c r="A38" s="352"/>
      <c r="B38" s="353"/>
      <c r="C38" s="354"/>
      <c r="D38" s="354"/>
      <c r="E38" s="352"/>
      <c r="F38" s="355"/>
      <c r="G38" s="654"/>
      <c r="H38" s="324"/>
      <c r="I38" s="324"/>
      <c r="J38" s="324"/>
      <c r="K38" s="324"/>
      <c r="L38" s="324"/>
    </row>
    <row r="39" spans="1:12" ht="16.5">
      <c r="A39" s="640"/>
      <c r="B39" s="646" t="s">
        <v>1159</v>
      </c>
      <c r="C39" s="647"/>
      <c r="D39" s="642"/>
      <c r="E39" s="648"/>
      <c r="F39" s="648"/>
      <c r="G39" s="654"/>
      <c r="H39" s="324"/>
      <c r="I39" s="324"/>
      <c r="J39" s="324"/>
      <c r="K39" s="324"/>
      <c r="L39" s="324"/>
    </row>
    <row r="40" spans="1:12" ht="30.75" customHeight="1">
      <c r="A40" s="635"/>
      <c r="B40" s="650" t="s">
        <v>767</v>
      </c>
      <c r="C40" s="311" t="str">
        <f>+VLOOKUP(B40,ITEMS!A$4:C$101,2,0)</f>
        <v>Un</v>
      </c>
      <c r="D40" s="639">
        <v>1</v>
      </c>
      <c r="E40" s="313">
        <f>+VLOOKUP(B40,ITEMS!A$4:D$101,3,0)</f>
        <v>244296</v>
      </c>
      <c r="F40" s="637">
        <f t="shared" ref="F40" si="3">+D40*E40</f>
        <v>244296</v>
      </c>
      <c r="G40" s="324"/>
      <c r="H40" s="324"/>
      <c r="I40" s="324"/>
      <c r="J40" s="324"/>
      <c r="K40" s="324"/>
      <c r="L40" s="324"/>
    </row>
    <row r="41" spans="1:12" ht="75.75" customHeight="1">
      <c r="A41" s="635"/>
      <c r="B41" s="675" t="s">
        <v>1179</v>
      </c>
      <c r="C41" s="676" t="str">
        <f>+VLOOKUP(B41,ITEMS!A$4:C$101,2,0)</f>
        <v>ml</v>
      </c>
      <c r="D41" s="639">
        <v>100</v>
      </c>
      <c r="E41" s="313">
        <f>+VLOOKUP(B41,ITEMS!A$4:D$101,3,0)</f>
        <v>23800</v>
      </c>
      <c r="F41" s="637">
        <f t="shared" ref="F41" si="4">+D41*E41</f>
        <v>2380000</v>
      </c>
      <c r="G41" s="709"/>
      <c r="H41" s="324"/>
      <c r="I41" s="324"/>
      <c r="J41" s="324"/>
      <c r="K41" s="324"/>
      <c r="L41" s="324"/>
    </row>
    <row r="42" spans="1:12" ht="15">
      <c r="A42" s="635"/>
      <c r="G42" s="324"/>
      <c r="H42" s="324"/>
      <c r="I42" s="324"/>
      <c r="J42" s="324"/>
      <c r="K42" s="324"/>
      <c r="L42" s="324"/>
    </row>
    <row r="43" spans="1:12" ht="16.5">
      <c r="A43" s="640"/>
      <c r="B43" s="641" t="s">
        <v>1161</v>
      </c>
      <c r="C43" s="642"/>
      <c r="D43" s="642"/>
      <c r="E43" s="640"/>
      <c r="F43" s="643">
        <f>SUM(F40:F42)</f>
        <v>2624296</v>
      </c>
      <c r="G43" s="324"/>
      <c r="H43" s="324"/>
      <c r="I43" s="324"/>
      <c r="J43" s="324"/>
      <c r="K43" s="324"/>
      <c r="L43" s="324"/>
    </row>
    <row r="44" spans="1:12" ht="16.5">
      <c r="A44" s="352"/>
      <c r="B44" s="353"/>
      <c r="C44" s="354"/>
      <c r="D44" s="354"/>
      <c r="E44" s="352"/>
      <c r="F44" s="355"/>
      <c r="G44" s="324"/>
      <c r="H44" s="324"/>
      <c r="I44" s="324"/>
      <c r="J44" s="324"/>
      <c r="K44" s="324"/>
      <c r="L44" s="324"/>
    </row>
    <row r="45" spans="1:12" ht="15">
      <c r="C45" s="855" t="s">
        <v>1152</v>
      </c>
      <c r="D45" s="855"/>
      <c r="E45" s="855"/>
      <c r="F45" s="659">
        <f>+D41</f>
        <v>100</v>
      </c>
      <c r="G45" s="324"/>
      <c r="H45" s="324"/>
      <c r="I45" s="324"/>
      <c r="J45" s="324"/>
      <c r="K45" s="324"/>
      <c r="L45" s="324"/>
    </row>
    <row r="46" spans="1:12" ht="15">
      <c r="C46" s="855" t="s">
        <v>1162</v>
      </c>
      <c r="D46" s="855"/>
      <c r="E46" s="855"/>
      <c r="F46" s="660">
        <f>+ROUND(F43/F45,0)</f>
        <v>26243</v>
      </c>
      <c r="G46" s="324"/>
      <c r="H46" s="324"/>
      <c r="I46" s="324"/>
      <c r="J46" s="324"/>
      <c r="K46" s="324"/>
      <c r="L46" s="324"/>
    </row>
    <row r="47" spans="1:12">
      <c r="G47" s="324"/>
      <c r="H47" s="324"/>
      <c r="I47" s="324"/>
      <c r="J47" s="324"/>
      <c r="K47" s="324"/>
      <c r="L47" s="324"/>
    </row>
    <row r="48" spans="1:12">
      <c r="G48" s="324"/>
      <c r="H48" s="324"/>
      <c r="I48" s="324"/>
      <c r="J48" s="324"/>
      <c r="K48" s="324"/>
      <c r="L48" s="324"/>
    </row>
  </sheetData>
  <mergeCells count="7">
    <mergeCell ref="A2:F2"/>
    <mergeCell ref="C8:E8"/>
    <mergeCell ref="C45:E45"/>
    <mergeCell ref="C46:E46"/>
    <mergeCell ref="A11:F11"/>
    <mergeCell ref="A23:F23"/>
    <mergeCell ref="C19:E19"/>
  </mergeCells>
  <pageMargins left="0.7" right="0.7" top="0.7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173"/>
  <sheetViews>
    <sheetView topLeftCell="A133" workbookViewId="0">
      <selection activeCell="I155" sqref="I155"/>
    </sheetView>
  </sheetViews>
  <sheetFormatPr baseColWidth="10" defaultRowHeight="14.25"/>
  <cols>
    <col min="1" max="1" width="6.375" customWidth="1"/>
    <col min="2" max="2" width="39" bestFit="1" customWidth="1"/>
    <col min="3" max="3" width="15.375" bestFit="1" customWidth="1"/>
    <col min="4" max="4" width="24.125" customWidth="1"/>
    <col min="5" max="5" width="18.5" style="714" customWidth="1"/>
    <col min="6" max="6" width="17" style="714" customWidth="1"/>
  </cols>
  <sheetData>
    <row r="2" spans="1:6" ht="15">
      <c r="A2" s="864" t="s">
        <v>1003</v>
      </c>
      <c r="B2" s="864"/>
      <c r="C2" s="864"/>
      <c r="D2" s="864"/>
    </row>
    <row r="3" spans="1:6">
      <c r="A3" s="866"/>
      <c r="B3" s="867"/>
      <c r="C3" s="867"/>
      <c r="D3" s="868"/>
    </row>
    <row r="4" spans="1:6" ht="20.100000000000001" customHeight="1">
      <c r="A4" s="865" t="s">
        <v>1079</v>
      </c>
      <c r="B4" s="865"/>
      <c r="C4" s="865"/>
      <c r="D4" s="758" t="e">
        <f>+ROUND(' ESTACIONES'!D16,0)</f>
        <v>#REF!</v>
      </c>
    </row>
    <row r="5" spans="1:6" ht="20.100000000000001" customHeight="1">
      <c r="A5" s="865" t="s">
        <v>1081</v>
      </c>
      <c r="B5" s="865"/>
      <c r="C5" s="865"/>
      <c r="D5" s="758">
        <v>80</v>
      </c>
    </row>
    <row r="6" spans="1:6" ht="20.100000000000001" customHeight="1">
      <c r="A6" s="865" t="s">
        <v>1080</v>
      </c>
      <c r="B6" s="865"/>
      <c r="C6" s="865"/>
      <c r="D6" s="758" t="e">
        <f>+ROUND(D4*D5,0)</f>
        <v>#REF!</v>
      </c>
    </row>
    <row r="7" spans="1:6" ht="20.100000000000001" customHeight="1">
      <c r="A7" s="763"/>
      <c r="B7" s="763"/>
      <c r="C7" s="763"/>
      <c r="D7" s="764"/>
      <c r="E7" s="765"/>
    </row>
    <row r="9" spans="1:6" ht="15.75">
      <c r="A9" s="494"/>
      <c r="B9" s="760" t="s">
        <v>1207</v>
      </c>
      <c r="C9" s="479"/>
      <c r="D9" s="479"/>
      <c r="E9" s="715"/>
      <c r="F9" s="715"/>
    </row>
    <row r="10" spans="1:6" ht="15">
      <c r="A10" s="480" t="s">
        <v>1004</v>
      </c>
      <c r="B10" s="480" t="s">
        <v>1005</v>
      </c>
      <c r="C10" s="480" t="s">
        <v>1006</v>
      </c>
      <c r="D10" s="480" t="s">
        <v>1007</v>
      </c>
      <c r="E10" s="717" t="s">
        <v>1139</v>
      </c>
      <c r="F10" s="717" t="s">
        <v>1140</v>
      </c>
    </row>
    <row r="11" spans="1:6" ht="25.5">
      <c r="A11" s="680">
        <v>1</v>
      </c>
      <c r="B11" s="726" t="s">
        <v>1037</v>
      </c>
      <c r="C11" s="468" t="s">
        <v>1020</v>
      </c>
      <c r="D11" s="468" t="s">
        <v>1038</v>
      </c>
      <c r="E11" s="727" t="s">
        <v>1143</v>
      </c>
      <c r="F11" s="727" t="s">
        <v>1141</v>
      </c>
    </row>
    <row r="12" spans="1:6" ht="25.5">
      <c r="A12" s="680">
        <v>2</v>
      </c>
      <c r="B12" s="726" t="s">
        <v>1039</v>
      </c>
      <c r="C12" s="468" t="s">
        <v>1040</v>
      </c>
      <c r="D12" s="468" t="s">
        <v>1041</v>
      </c>
      <c r="E12" s="727" t="s">
        <v>1143</v>
      </c>
      <c r="F12" s="727" t="s">
        <v>1141</v>
      </c>
    </row>
    <row r="13" spans="1:6" ht="20.100000000000001" customHeight="1">
      <c r="A13" s="680">
        <v>3</v>
      </c>
      <c r="B13" s="726" t="s">
        <v>1042</v>
      </c>
      <c r="C13" s="468" t="s">
        <v>1009</v>
      </c>
      <c r="D13" s="468" t="s">
        <v>1014</v>
      </c>
      <c r="E13" s="727" t="s">
        <v>1143</v>
      </c>
      <c r="F13" s="727" t="s">
        <v>1141</v>
      </c>
    </row>
    <row r="14" spans="1:6" ht="25.5">
      <c r="A14" s="680">
        <v>4</v>
      </c>
      <c r="B14" s="726" t="s">
        <v>1043</v>
      </c>
      <c r="C14" s="468" t="s">
        <v>1009</v>
      </c>
      <c r="D14" s="468" t="s">
        <v>1014</v>
      </c>
      <c r="E14" s="727" t="s">
        <v>1143</v>
      </c>
      <c r="F14" s="727" t="s">
        <v>1141</v>
      </c>
    </row>
    <row r="15" spans="1:6" ht="25.5">
      <c r="A15" s="680">
        <v>5</v>
      </c>
      <c r="B15" s="726" t="s">
        <v>1044</v>
      </c>
      <c r="C15" s="468" t="s">
        <v>1009</v>
      </c>
      <c r="D15" s="468" t="s">
        <v>1014</v>
      </c>
      <c r="E15" s="727" t="s">
        <v>1143</v>
      </c>
      <c r="F15" s="727" t="s">
        <v>1141</v>
      </c>
    </row>
    <row r="16" spans="1:6" ht="25.5">
      <c r="A16" s="680">
        <v>6</v>
      </c>
      <c r="B16" s="726" t="s">
        <v>1045</v>
      </c>
      <c r="C16" s="468" t="s">
        <v>1009</v>
      </c>
      <c r="D16" s="468" t="s">
        <v>1014</v>
      </c>
      <c r="E16" s="727" t="s">
        <v>1143</v>
      </c>
      <c r="F16" s="727" t="s">
        <v>1141</v>
      </c>
    </row>
    <row r="17" spans="1:10" ht="15" customHeight="1">
      <c r="A17" s="680">
        <v>7</v>
      </c>
      <c r="B17" s="726" t="s">
        <v>1046</v>
      </c>
      <c r="C17" s="468" t="s">
        <v>1009</v>
      </c>
      <c r="D17" s="468" t="s">
        <v>1014</v>
      </c>
      <c r="E17" s="727" t="s">
        <v>1143</v>
      </c>
      <c r="F17" s="727" t="s">
        <v>1141</v>
      </c>
    </row>
    <row r="18" spans="1:10" ht="15" customHeight="1">
      <c r="A18" s="680">
        <v>8</v>
      </c>
      <c r="B18" s="726" t="s">
        <v>1047</v>
      </c>
      <c r="C18" s="468" t="s">
        <v>1009</v>
      </c>
      <c r="D18" s="468" t="s">
        <v>1012</v>
      </c>
      <c r="E18" s="727" t="s">
        <v>1143</v>
      </c>
      <c r="F18" s="727" t="s">
        <v>1141</v>
      </c>
    </row>
    <row r="19" spans="1:10" ht="15" customHeight="1">
      <c r="A19" s="680">
        <v>9</v>
      </c>
      <c r="B19" s="726" t="s">
        <v>1048</v>
      </c>
      <c r="C19" s="468" t="s">
        <v>1017</v>
      </c>
      <c r="D19" s="468" t="s">
        <v>1036</v>
      </c>
      <c r="E19" s="727" t="s">
        <v>1143</v>
      </c>
      <c r="F19" s="727" t="s">
        <v>1141</v>
      </c>
    </row>
    <row r="20" spans="1:10" ht="15" customHeight="1">
      <c r="A20" s="680">
        <v>10</v>
      </c>
      <c r="B20" s="726" t="s">
        <v>1049</v>
      </c>
      <c r="C20" s="468" t="s">
        <v>1020</v>
      </c>
      <c r="D20" s="468" t="s">
        <v>1024</v>
      </c>
      <c r="E20" s="727" t="s">
        <v>1143</v>
      </c>
      <c r="F20" s="727" t="s">
        <v>1141</v>
      </c>
      <c r="G20" s="324" t="s">
        <v>1138</v>
      </c>
      <c r="H20" s="324"/>
      <c r="I20" s="324"/>
      <c r="J20" s="324"/>
    </row>
    <row r="21" spans="1:10" ht="15" customHeight="1">
      <c r="A21" s="748"/>
      <c r="B21" s="749"/>
      <c r="C21" s="750"/>
      <c r="D21" s="750"/>
      <c r="E21" s="727"/>
      <c r="F21" s="727"/>
    </row>
    <row r="22" spans="1:10" ht="15" customHeight="1">
      <c r="A22" s="442"/>
      <c r="B22" s="857" t="s">
        <v>1079</v>
      </c>
      <c r="C22" s="858"/>
      <c r="D22" s="858"/>
      <c r="E22" s="859"/>
      <c r="F22" s="728" t="e">
        <f>+$D$4</f>
        <v>#REF!</v>
      </c>
    </row>
    <row r="23" spans="1:10" ht="15" customHeight="1">
      <c r="A23" s="442"/>
      <c r="B23" s="857" t="s">
        <v>1081</v>
      </c>
      <c r="C23" s="858"/>
      <c r="D23" s="858"/>
      <c r="E23" s="859"/>
      <c r="F23" s="728">
        <v>80</v>
      </c>
    </row>
    <row r="24" spans="1:10" ht="15" customHeight="1">
      <c r="A24" s="442"/>
      <c r="B24" s="857" t="s">
        <v>1119</v>
      </c>
      <c r="C24" s="858"/>
      <c r="D24" s="858"/>
      <c r="E24" s="859"/>
      <c r="F24" s="728">
        <f>+A20</f>
        <v>10</v>
      </c>
    </row>
    <row r="25" spans="1:10" ht="15" customHeight="1">
      <c r="A25" s="658"/>
      <c r="B25" s="857" t="s">
        <v>1237</v>
      </c>
      <c r="C25" s="858"/>
      <c r="D25" s="858"/>
      <c r="E25" s="859"/>
      <c r="F25" s="795">
        <f>+F24*F23</f>
        <v>800</v>
      </c>
    </row>
    <row r="26" spans="1:10" ht="15" customHeight="1">
      <c r="A26" s="442"/>
      <c r="B26" s="860" t="str">
        <f>+"VALOR SOLUCIÓN INTERFERENCIAS REDES 11,4kV "&amp;B9&amp;""</f>
        <v xml:space="preserve">VALOR SOLUCIÓN INTERFERENCIAS REDES 11,4kV RECORRIDO ESTACION 20 DE JULIO ALTERNATIVA 1  - LA VICTORIA </v>
      </c>
      <c r="C26" s="860"/>
      <c r="D26" s="860"/>
      <c r="E26" s="860"/>
      <c r="F26" s="729" t="e">
        <f>+F22*F23*F24</f>
        <v>#REF!</v>
      </c>
    </row>
    <row r="27" spans="1:10" ht="15" customHeight="1">
      <c r="A27" s="414"/>
      <c r="B27" s="515"/>
      <c r="C27" s="515"/>
      <c r="D27" s="515"/>
      <c r="E27" s="515"/>
      <c r="F27" s="511"/>
    </row>
    <row r="28" spans="1:10" ht="15" customHeight="1">
      <c r="A28" s="414"/>
      <c r="B28" s="515"/>
      <c r="C28" s="515"/>
      <c r="D28" s="515"/>
      <c r="E28" s="515"/>
      <c r="F28" s="511"/>
    </row>
    <row r="29" spans="1:10" ht="15" customHeight="1"/>
    <row r="30" spans="1:10" ht="15" customHeight="1">
      <c r="A30" s="494"/>
      <c r="B30" s="760" t="s">
        <v>1212</v>
      </c>
      <c r="C30" s="479"/>
      <c r="D30" s="479"/>
      <c r="E30" s="715"/>
      <c r="F30" s="715"/>
    </row>
    <row r="31" spans="1:10" s="414" customFormat="1" ht="15" customHeight="1">
      <c r="A31" s="466" t="s">
        <v>1004</v>
      </c>
      <c r="B31" s="466" t="s">
        <v>1005</v>
      </c>
      <c r="C31" s="466" t="s">
        <v>1006</v>
      </c>
      <c r="D31" s="480" t="s">
        <v>1007</v>
      </c>
      <c r="E31" s="717" t="s">
        <v>1139</v>
      </c>
      <c r="F31" s="717" t="s">
        <v>1140</v>
      </c>
    </row>
    <row r="32" spans="1:10" s="414" customFormat="1" ht="15" customHeight="1">
      <c r="A32" s="384">
        <v>1</v>
      </c>
      <c r="B32" s="395" t="s">
        <v>1058</v>
      </c>
      <c r="C32" s="470" t="s">
        <v>1020</v>
      </c>
      <c r="D32" s="467" t="s">
        <v>1059</v>
      </c>
      <c r="E32" s="719" t="s">
        <v>1144</v>
      </c>
      <c r="F32" s="719" t="s">
        <v>1141</v>
      </c>
    </row>
    <row r="33" spans="1:6" s="414" customFormat="1" ht="15" customHeight="1">
      <c r="A33" s="384">
        <v>2</v>
      </c>
      <c r="B33" s="395" t="s">
        <v>1060</v>
      </c>
      <c r="C33" s="470" t="s">
        <v>1020</v>
      </c>
      <c r="D33" s="467" t="s">
        <v>1061</v>
      </c>
      <c r="E33" s="719" t="s">
        <v>1144</v>
      </c>
      <c r="F33" s="719" t="s">
        <v>1141</v>
      </c>
    </row>
    <row r="34" spans="1:6" s="414" customFormat="1" ht="15" customHeight="1">
      <c r="A34" s="384">
        <v>3</v>
      </c>
      <c r="B34" s="395" t="s">
        <v>1062</v>
      </c>
      <c r="C34" s="470" t="s">
        <v>1009</v>
      </c>
      <c r="D34" s="467" t="s">
        <v>1012</v>
      </c>
      <c r="E34" s="719" t="s">
        <v>1144</v>
      </c>
      <c r="F34" s="719" t="s">
        <v>1141</v>
      </c>
    </row>
    <row r="35" spans="1:6" ht="20.100000000000001" customHeight="1">
      <c r="A35" s="384">
        <v>4</v>
      </c>
      <c r="B35" s="395" t="s">
        <v>1063</v>
      </c>
      <c r="C35" s="470" t="s">
        <v>1009</v>
      </c>
      <c r="D35" s="467" t="s">
        <v>1014</v>
      </c>
      <c r="E35" s="719" t="s">
        <v>1144</v>
      </c>
      <c r="F35" s="719" t="s">
        <v>1141</v>
      </c>
    </row>
    <row r="36" spans="1:6" ht="15" customHeight="1">
      <c r="A36" s="384">
        <v>5</v>
      </c>
      <c r="B36" s="395" t="s">
        <v>1064</v>
      </c>
      <c r="C36" s="470" t="s">
        <v>1009</v>
      </c>
      <c r="D36" s="467" t="s">
        <v>1014</v>
      </c>
      <c r="E36" s="719" t="s">
        <v>1144</v>
      </c>
      <c r="F36" s="719" t="s">
        <v>1141</v>
      </c>
    </row>
    <row r="37" spans="1:6" ht="15" customHeight="1">
      <c r="A37" s="384">
        <v>6</v>
      </c>
      <c r="B37" s="395" t="s">
        <v>1065</v>
      </c>
      <c r="C37" s="470" t="s">
        <v>1009</v>
      </c>
      <c r="D37" s="467" t="s">
        <v>1012</v>
      </c>
      <c r="E37" s="719" t="s">
        <v>1144</v>
      </c>
      <c r="F37" s="719" t="s">
        <v>1141</v>
      </c>
    </row>
    <row r="38" spans="1:6" ht="15" customHeight="1">
      <c r="A38" s="384">
        <v>7</v>
      </c>
      <c r="B38" s="395" t="s">
        <v>1066</v>
      </c>
      <c r="C38" s="470" t="s">
        <v>1020</v>
      </c>
      <c r="D38" s="467" t="s">
        <v>1021</v>
      </c>
      <c r="E38" s="719" t="s">
        <v>1144</v>
      </c>
      <c r="F38" s="719" t="s">
        <v>1141</v>
      </c>
    </row>
    <row r="39" spans="1:6" ht="15" customHeight="1">
      <c r="A39" s="730"/>
      <c r="B39" s="755"/>
      <c r="C39" s="756"/>
      <c r="D39" s="757"/>
      <c r="E39" s="719"/>
      <c r="F39" s="719"/>
    </row>
    <row r="40" spans="1:6" ht="15.75">
      <c r="A40" s="442"/>
      <c r="B40" s="857" t="s">
        <v>1079</v>
      </c>
      <c r="C40" s="858"/>
      <c r="D40" s="858"/>
      <c r="E40" s="859"/>
      <c r="F40" s="485" t="e">
        <f>+$D$4</f>
        <v>#REF!</v>
      </c>
    </row>
    <row r="41" spans="1:6" ht="15.75">
      <c r="A41" s="442"/>
      <c r="B41" s="857" t="s">
        <v>1081</v>
      </c>
      <c r="C41" s="858"/>
      <c r="D41" s="858"/>
      <c r="E41" s="859"/>
      <c r="F41" s="485">
        <v>80</v>
      </c>
    </row>
    <row r="42" spans="1:6" ht="15" customHeight="1">
      <c r="A42" s="442"/>
      <c r="B42" s="860" t="s">
        <v>1238</v>
      </c>
      <c r="C42" s="860"/>
      <c r="D42" s="860"/>
      <c r="E42" s="860"/>
      <c r="F42" s="728">
        <f>+A38</f>
        <v>7</v>
      </c>
    </row>
    <row r="43" spans="1:6" ht="15" customHeight="1">
      <c r="A43" s="658"/>
      <c r="B43" s="857" t="s">
        <v>1237</v>
      </c>
      <c r="C43" s="858"/>
      <c r="D43" s="858"/>
      <c r="E43" s="859"/>
      <c r="F43" s="795">
        <f>+F42*F41</f>
        <v>560</v>
      </c>
    </row>
    <row r="44" spans="1:6" ht="15" customHeight="1">
      <c r="A44" s="442"/>
      <c r="B44" s="860" t="str">
        <f>+"VALOR SOLUCIÓN INTERFERENCIAS REDES 11,4kV "&amp;B30&amp;""</f>
        <v>VALOR SOLUCIÓN INTERFERENCIAS REDES 11,4kV RECORRIDO ESTACION 20 DE JULIO ALTERNATIVA 4 - LA VICTORIA</v>
      </c>
      <c r="C44" s="860"/>
      <c r="D44" s="860"/>
      <c r="E44" s="860"/>
      <c r="F44" s="729" t="e">
        <f>+F40*F41*F42</f>
        <v>#REF!</v>
      </c>
    </row>
    <row r="45" spans="1:6" ht="15" customHeight="1"/>
    <row r="46" spans="1:6" ht="15" customHeight="1"/>
    <row r="47" spans="1:6" ht="15" customHeight="1"/>
    <row r="48" spans="1:6" ht="15" customHeight="1">
      <c r="A48" s="494"/>
      <c r="B48" s="760" t="s">
        <v>1205</v>
      </c>
      <c r="C48" s="759"/>
      <c r="D48" s="759"/>
      <c r="E48" s="715"/>
      <c r="F48" s="715"/>
    </row>
    <row r="49" spans="1:6" ht="15" customHeight="1">
      <c r="A49" s="371"/>
      <c r="B49" s="478"/>
      <c r="C49" s="465"/>
      <c r="D49" s="465"/>
      <c r="E49" s="716"/>
      <c r="F49" s="716"/>
    </row>
    <row r="50" spans="1:6" ht="15" customHeight="1">
      <c r="A50" s="466" t="s">
        <v>1004</v>
      </c>
      <c r="B50" s="466" t="s">
        <v>1005</v>
      </c>
      <c r="C50" s="466" t="s">
        <v>1006</v>
      </c>
      <c r="D50" s="480" t="s">
        <v>1007</v>
      </c>
      <c r="E50" s="717" t="s">
        <v>1139</v>
      </c>
      <c r="F50" s="717" t="s">
        <v>1140</v>
      </c>
    </row>
    <row r="51" spans="1:6" ht="15" customHeight="1">
      <c r="A51" s="520">
        <v>1</v>
      </c>
      <c r="B51" s="510" t="s">
        <v>1008</v>
      </c>
      <c r="C51" s="722" t="s">
        <v>1009</v>
      </c>
      <c r="D51" s="723" t="s">
        <v>1010</v>
      </c>
      <c r="E51" s="724" t="s">
        <v>1142</v>
      </c>
      <c r="F51" s="724" t="s">
        <v>1141</v>
      </c>
    </row>
    <row r="52" spans="1:6" ht="15" customHeight="1">
      <c r="A52" s="520">
        <v>2</v>
      </c>
      <c r="B52" s="510" t="s">
        <v>1011</v>
      </c>
      <c r="C52" s="722" t="s">
        <v>1009</v>
      </c>
      <c r="D52" s="723" t="s">
        <v>1012</v>
      </c>
      <c r="E52" s="724" t="s">
        <v>1142</v>
      </c>
      <c r="F52" s="724" t="s">
        <v>1141</v>
      </c>
    </row>
    <row r="53" spans="1:6" ht="15" customHeight="1">
      <c r="A53" s="520">
        <v>3</v>
      </c>
      <c r="B53" s="510" t="s">
        <v>1013</v>
      </c>
      <c r="C53" s="722" t="s">
        <v>1009</v>
      </c>
      <c r="D53" s="723" t="s">
        <v>1014</v>
      </c>
      <c r="E53" s="724" t="s">
        <v>1142</v>
      </c>
      <c r="F53" s="724" t="s">
        <v>1141</v>
      </c>
    </row>
    <row r="54" spans="1:6" s="324" customFormat="1" ht="20.100000000000001" customHeight="1">
      <c r="A54" s="520">
        <v>4</v>
      </c>
      <c r="B54" s="510" t="s">
        <v>1015</v>
      </c>
      <c r="C54" s="722" t="s">
        <v>1009</v>
      </c>
      <c r="D54" s="723" t="s">
        <v>1012</v>
      </c>
      <c r="E54" s="724" t="s">
        <v>1142</v>
      </c>
      <c r="F54" s="724" t="s">
        <v>1141</v>
      </c>
    </row>
    <row r="55" spans="1:6" s="324" customFormat="1" ht="28.5" customHeight="1">
      <c r="A55" s="520">
        <v>5</v>
      </c>
      <c r="B55" s="510" t="s">
        <v>1016</v>
      </c>
      <c r="C55" s="722" t="s">
        <v>1017</v>
      </c>
      <c r="D55" s="723" t="s">
        <v>1018</v>
      </c>
      <c r="E55" s="725" t="s">
        <v>1142</v>
      </c>
      <c r="F55" s="725" t="s">
        <v>1141</v>
      </c>
    </row>
    <row r="56" spans="1:6" ht="15" customHeight="1">
      <c r="A56" s="520">
        <v>6</v>
      </c>
      <c r="B56" s="510" t="s">
        <v>1019</v>
      </c>
      <c r="C56" s="722" t="s">
        <v>1020</v>
      </c>
      <c r="D56" s="723" t="s">
        <v>1021</v>
      </c>
      <c r="E56" s="724" t="s">
        <v>1142</v>
      </c>
      <c r="F56" s="724" t="s">
        <v>1141</v>
      </c>
    </row>
    <row r="57" spans="1:6">
      <c r="A57" s="522"/>
      <c r="B57" s="731"/>
      <c r="C57" s="732"/>
      <c r="D57" s="733"/>
      <c r="E57" s="724"/>
      <c r="F57" s="724"/>
    </row>
    <row r="58" spans="1:6" ht="15.75">
      <c r="A58" s="442"/>
      <c r="B58" s="857" t="s">
        <v>1079</v>
      </c>
      <c r="C58" s="858"/>
      <c r="D58" s="858"/>
      <c r="E58" s="859"/>
      <c r="F58" s="728" t="e">
        <f>+$D$4</f>
        <v>#REF!</v>
      </c>
    </row>
    <row r="59" spans="1:6" ht="15" customHeight="1">
      <c r="A59" s="442"/>
      <c r="B59" s="857" t="s">
        <v>1081</v>
      </c>
      <c r="C59" s="858"/>
      <c r="D59" s="858"/>
      <c r="E59" s="859"/>
      <c r="F59" s="728">
        <v>80</v>
      </c>
    </row>
    <row r="60" spans="1:6" ht="15" customHeight="1">
      <c r="A60" s="442"/>
      <c r="B60" s="860" t="s">
        <v>1238</v>
      </c>
      <c r="C60" s="860"/>
      <c r="D60" s="860"/>
      <c r="E60" s="860"/>
      <c r="F60" s="728">
        <f>+A56</f>
        <v>6</v>
      </c>
    </row>
    <row r="61" spans="1:6" ht="15" customHeight="1">
      <c r="A61" s="658"/>
      <c r="B61" s="857" t="s">
        <v>1237</v>
      </c>
      <c r="C61" s="858"/>
      <c r="D61" s="858"/>
      <c r="E61" s="859"/>
      <c r="F61" s="795">
        <f>+F60*F59</f>
        <v>480</v>
      </c>
    </row>
    <row r="62" spans="1:6" ht="15" customHeight="1">
      <c r="A62" s="442"/>
      <c r="B62" s="860" t="str">
        <f>+"VALOR SOLUCIÓN INTERFERENCIAS REDES 11,4kV "&amp;B48&amp;""</f>
        <v>VALOR SOLUCIÓN INTERFERENCIAS REDES 11,4kV RECORRIDO ESTACION 20 DE JULIO ALTERNATIVA 6  - LA VICTORIA</v>
      </c>
      <c r="C62" s="860"/>
      <c r="D62" s="860"/>
      <c r="E62" s="860"/>
      <c r="F62" s="729" t="e">
        <f>+F58*F59*F60</f>
        <v>#REF!</v>
      </c>
    </row>
    <row r="63" spans="1:6" ht="15" customHeight="1">
      <c r="A63" s="734"/>
      <c r="B63" s="735"/>
      <c r="C63" s="736"/>
      <c r="D63" s="737"/>
      <c r="E63" s="738"/>
      <c r="F63" s="738"/>
    </row>
    <row r="64" spans="1:6" ht="15" customHeight="1">
      <c r="A64" s="734"/>
      <c r="B64" s="735"/>
      <c r="C64" s="736"/>
      <c r="D64" s="737"/>
      <c r="E64" s="738"/>
      <c r="F64" s="738"/>
    </row>
    <row r="65" spans="1:6" ht="15" customHeight="1">
      <c r="A65" s="734"/>
      <c r="B65" s="735"/>
      <c r="C65" s="736"/>
      <c r="D65" s="737"/>
      <c r="E65" s="738"/>
      <c r="F65" s="738"/>
    </row>
    <row r="66" spans="1:6" ht="15" customHeight="1">
      <c r="A66" s="739"/>
      <c r="B66" s="760" t="s">
        <v>1206</v>
      </c>
      <c r="C66" s="740"/>
      <c r="D66" s="740"/>
      <c r="E66" s="741"/>
      <c r="F66" s="741"/>
    </row>
    <row r="67" spans="1:6" ht="15" customHeight="1">
      <c r="A67" s="442"/>
      <c r="B67" s="742"/>
      <c r="C67" s="743"/>
      <c r="D67" s="743"/>
      <c r="E67" s="744"/>
      <c r="F67" s="744"/>
    </row>
    <row r="68" spans="1:6" ht="15" customHeight="1">
      <c r="A68" s="745" t="s">
        <v>1004</v>
      </c>
      <c r="B68" s="745" t="s">
        <v>1005</v>
      </c>
      <c r="C68" s="745" t="s">
        <v>1006</v>
      </c>
      <c r="D68" s="746" t="s">
        <v>1007</v>
      </c>
      <c r="E68" s="747" t="s">
        <v>1139</v>
      </c>
      <c r="F68" s="747" t="s">
        <v>1140</v>
      </c>
    </row>
    <row r="69" spans="1:6" ht="15" customHeight="1">
      <c r="A69" s="522"/>
      <c r="B69" s="731"/>
      <c r="C69" s="732"/>
      <c r="D69" s="733"/>
      <c r="E69" s="724"/>
      <c r="F69" s="724"/>
    </row>
    <row r="70" spans="1:6" ht="15" customHeight="1">
      <c r="A70" s="432">
        <v>1</v>
      </c>
      <c r="B70" s="510" t="s">
        <v>1022</v>
      </c>
      <c r="C70" s="679" t="s">
        <v>1023</v>
      </c>
      <c r="D70" s="468" t="s">
        <v>1024</v>
      </c>
      <c r="E70" s="724" t="s">
        <v>1141</v>
      </c>
      <c r="F70" s="724" t="s">
        <v>1145</v>
      </c>
    </row>
    <row r="71" spans="1:6" ht="24">
      <c r="A71" s="432">
        <v>2</v>
      </c>
      <c r="B71" s="510" t="s">
        <v>1025</v>
      </c>
      <c r="C71" s="679" t="s">
        <v>1026</v>
      </c>
      <c r="D71" s="468" t="s">
        <v>1027</v>
      </c>
      <c r="E71" s="724" t="s">
        <v>1141</v>
      </c>
      <c r="F71" s="724" t="s">
        <v>1145</v>
      </c>
    </row>
    <row r="72" spans="1:6" ht="24">
      <c r="A72" s="432">
        <v>3</v>
      </c>
      <c r="B72" s="510" t="s">
        <v>1028</v>
      </c>
      <c r="C72" s="679" t="s">
        <v>1026</v>
      </c>
      <c r="D72" s="468" t="s">
        <v>1027</v>
      </c>
      <c r="E72" s="724" t="s">
        <v>1141</v>
      </c>
      <c r="F72" s="724" t="s">
        <v>1145</v>
      </c>
    </row>
    <row r="73" spans="1:6" ht="20.100000000000001" customHeight="1">
      <c r="A73" s="432">
        <v>4</v>
      </c>
      <c r="B73" s="510" t="s">
        <v>1029</v>
      </c>
      <c r="C73" s="679" t="s">
        <v>1030</v>
      </c>
      <c r="D73" s="468" t="s">
        <v>1024</v>
      </c>
      <c r="E73" s="724" t="s">
        <v>1141</v>
      </c>
      <c r="F73" s="724" t="s">
        <v>1145</v>
      </c>
    </row>
    <row r="74" spans="1:6" ht="15" customHeight="1">
      <c r="A74" s="432">
        <v>5</v>
      </c>
      <c r="B74" s="510" t="s">
        <v>1031</v>
      </c>
      <c r="C74" s="679" t="s">
        <v>1032</v>
      </c>
      <c r="D74" s="468" t="s">
        <v>1033</v>
      </c>
      <c r="E74" s="724" t="s">
        <v>1141</v>
      </c>
      <c r="F74" s="724" t="s">
        <v>1145</v>
      </c>
    </row>
    <row r="75" spans="1:6" ht="15" customHeight="1">
      <c r="A75" s="432">
        <v>6</v>
      </c>
      <c r="B75" s="510" t="s">
        <v>1034</v>
      </c>
      <c r="C75" s="679" t="s">
        <v>1035</v>
      </c>
      <c r="D75" s="468" t="s">
        <v>1036</v>
      </c>
      <c r="E75" s="724" t="s">
        <v>1141</v>
      </c>
      <c r="F75" s="724" t="s">
        <v>1145</v>
      </c>
    </row>
    <row r="76" spans="1:6" ht="15" customHeight="1">
      <c r="A76" s="384"/>
      <c r="B76" s="395"/>
      <c r="C76" s="470"/>
      <c r="D76" s="467"/>
      <c r="E76" s="719"/>
      <c r="F76" s="719"/>
    </row>
    <row r="77" spans="1:6" ht="15.75">
      <c r="A77" s="442"/>
      <c r="B77" s="857" t="s">
        <v>1079</v>
      </c>
      <c r="C77" s="858"/>
      <c r="D77" s="858"/>
      <c r="E77" s="859"/>
      <c r="F77" s="728" t="e">
        <f>+$D$4</f>
        <v>#REF!</v>
      </c>
    </row>
    <row r="78" spans="1:6" ht="15.75">
      <c r="A78" s="442"/>
      <c r="B78" s="857" t="s">
        <v>1081</v>
      </c>
      <c r="C78" s="858"/>
      <c r="D78" s="858"/>
      <c r="E78" s="859"/>
      <c r="F78" s="728">
        <v>80</v>
      </c>
    </row>
    <row r="79" spans="1:6" ht="15" customHeight="1">
      <c r="A79" s="442"/>
      <c r="B79" s="860" t="s">
        <v>1238</v>
      </c>
      <c r="C79" s="860"/>
      <c r="D79" s="860"/>
      <c r="E79" s="860"/>
      <c r="F79" s="728">
        <f>+A75</f>
        <v>6</v>
      </c>
    </row>
    <row r="80" spans="1:6" ht="15" customHeight="1">
      <c r="A80" s="658"/>
      <c r="B80" s="857" t="s">
        <v>1237</v>
      </c>
      <c r="C80" s="858"/>
      <c r="D80" s="858"/>
      <c r="E80" s="859"/>
      <c r="F80" s="795">
        <f>+F79*F78</f>
        <v>480</v>
      </c>
    </row>
    <row r="81" spans="1:6" ht="15" customHeight="1">
      <c r="A81" s="442"/>
      <c r="B81" s="860" t="str">
        <f>+"VALOR SOLUCIÓN INTERFERENCIAS REDES 11,4kV "&amp;B66&amp;""</f>
        <v>VALOR SOLUCIÓN INTERFERENCIAS REDES 11,4kV RECORRIDO ESTACION LA VICTORIA - ALTAMIRA ALTERNATIVA 2</v>
      </c>
      <c r="C81" s="860"/>
      <c r="D81" s="860"/>
      <c r="E81" s="860"/>
      <c r="F81" s="729" t="e">
        <f>+F77*F78*F79</f>
        <v>#REF!</v>
      </c>
    </row>
    <row r="82" spans="1:6" ht="15" customHeight="1">
      <c r="A82" s="414"/>
      <c r="B82" s="414"/>
      <c r="C82" s="471"/>
      <c r="D82" s="469"/>
    </row>
    <row r="83" spans="1:6" ht="15" customHeight="1">
      <c r="A83" s="751"/>
      <c r="B83" s="752"/>
      <c r="C83" s="753"/>
      <c r="D83" s="753"/>
      <c r="E83" s="754"/>
      <c r="F83" s="754"/>
    </row>
    <row r="84" spans="1:6" ht="15" customHeight="1">
      <c r="A84" s="751"/>
      <c r="B84" s="752"/>
      <c r="C84" s="753"/>
      <c r="D84" s="753"/>
      <c r="E84" s="754"/>
      <c r="F84" s="754"/>
    </row>
    <row r="85" spans="1:6" ht="15" customHeight="1">
      <c r="A85" s="494"/>
      <c r="B85" s="760" t="s">
        <v>1211</v>
      </c>
      <c r="C85" s="479"/>
      <c r="D85" s="479"/>
      <c r="E85" s="715"/>
      <c r="F85" s="715"/>
    </row>
    <row r="86" spans="1:6" ht="15" customHeight="1">
      <c r="A86" s="480" t="s">
        <v>1004</v>
      </c>
      <c r="B86" s="480" t="s">
        <v>1005</v>
      </c>
      <c r="C86" s="480" t="s">
        <v>1006</v>
      </c>
      <c r="D86" s="480" t="s">
        <v>1007</v>
      </c>
      <c r="E86" s="717" t="s">
        <v>1139</v>
      </c>
      <c r="F86" s="717" t="s">
        <v>1140</v>
      </c>
    </row>
    <row r="87" spans="1:6" ht="15" customHeight="1">
      <c r="A87" s="748"/>
      <c r="B87" s="749"/>
      <c r="C87" s="750"/>
      <c r="D87" s="750"/>
      <c r="E87" s="727"/>
      <c r="F87" s="727"/>
    </row>
    <row r="88" spans="1:6" ht="15" customHeight="1">
      <c r="A88" s="680">
        <v>1</v>
      </c>
      <c r="B88" s="726" t="s">
        <v>1050</v>
      </c>
      <c r="C88" s="468" t="s">
        <v>1023</v>
      </c>
      <c r="D88" s="468" t="s">
        <v>1024</v>
      </c>
      <c r="E88" s="727" t="s">
        <v>1141</v>
      </c>
      <c r="F88" s="727" t="s">
        <v>1146</v>
      </c>
    </row>
    <row r="89" spans="1:6" s="324" customFormat="1" ht="24">
      <c r="A89" s="680">
        <v>2</v>
      </c>
      <c r="B89" s="726" t="s">
        <v>1051</v>
      </c>
      <c r="C89" s="468" t="s">
        <v>1026</v>
      </c>
      <c r="D89" s="468" t="s">
        <v>1027</v>
      </c>
      <c r="E89" s="727" t="s">
        <v>1141</v>
      </c>
      <c r="F89" s="727" t="s">
        <v>1146</v>
      </c>
    </row>
    <row r="90" spans="1:6" s="324" customFormat="1" ht="27" customHeight="1">
      <c r="A90" s="680">
        <v>3</v>
      </c>
      <c r="B90" s="726" t="s">
        <v>1052</v>
      </c>
      <c r="C90" s="468" t="s">
        <v>1026</v>
      </c>
      <c r="D90" s="468" t="s">
        <v>1027</v>
      </c>
      <c r="E90" s="727" t="s">
        <v>1141</v>
      </c>
      <c r="F90" s="727" t="s">
        <v>1146</v>
      </c>
    </row>
    <row r="91" spans="1:6" ht="15" customHeight="1">
      <c r="A91" s="680">
        <v>4</v>
      </c>
      <c r="B91" s="726" t="s">
        <v>1053</v>
      </c>
      <c r="C91" s="468" t="s">
        <v>1054</v>
      </c>
      <c r="D91" s="468" t="s">
        <v>1033</v>
      </c>
      <c r="E91" s="727" t="s">
        <v>1141</v>
      </c>
      <c r="F91" s="727" t="s">
        <v>1146</v>
      </c>
    </row>
    <row r="92" spans="1:6" ht="15" customHeight="1">
      <c r="A92" s="680">
        <v>5</v>
      </c>
      <c r="B92" s="726" t="s">
        <v>1055</v>
      </c>
      <c r="C92" s="468" t="s">
        <v>1023</v>
      </c>
      <c r="D92" s="468" t="s">
        <v>1033</v>
      </c>
      <c r="E92" s="727" t="s">
        <v>1141</v>
      </c>
      <c r="F92" s="727" t="s">
        <v>1146</v>
      </c>
    </row>
    <row r="93" spans="1:6" ht="15" customHeight="1">
      <c r="A93" s="680">
        <v>6</v>
      </c>
      <c r="B93" s="726" t="s">
        <v>1056</v>
      </c>
      <c r="C93" s="468" t="s">
        <v>1035</v>
      </c>
      <c r="D93" s="468" t="s">
        <v>1036</v>
      </c>
      <c r="E93" s="727" t="s">
        <v>1141</v>
      </c>
      <c r="F93" s="727" t="s">
        <v>1146</v>
      </c>
    </row>
    <row r="94" spans="1:6" ht="15" customHeight="1">
      <c r="A94" s="680">
        <v>7</v>
      </c>
      <c r="B94" s="726" t="s">
        <v>1057</v>
      </c>
      <c r="C94" s="468" t="s">
        <v>1023</v>
      </c>
      <c r="D94" s="468" t="s">
        <v>1014</v>
      </c>
      <c r="E94" s="727" t="s">
        <v>1141</v>
      </c>
      <c r="F94" s="727" t="s">
        <v>1146</v>
      </c>
    </row>
    <row r="95" spans="1:6" ht="15" customHeight="1">
      <c r="A95" s="512"/>
      <c r="B95" s="513"/>
      <c r="C95" s="514"/>
      <c r="D95" s="467"/>
      <c r="E95" s="719"/>
      <c r="F95" s="719"/>
    </row>
    <row r="96" spans="1:6" ht="15" customHeight="1">
      <c r="A96" s="442"/>
      <c r="B96" s="861" t="s">
        <v>1079</v>
      </c>
      <c r="C96" s="862"/>
      <c r="D96" s="862"/>
      <c r="E96" s="863"/>
      <c r="F96" s="485" t="e">
        <f>+$D$4</f>
        <v>#REF!</v>
      </c>
    </row>
    <row r="97" spans="1:6" ht="15" customHeight="1">
      <c r="A97" s="442"/>
      <c r="B97" s="861" t="s">
        <v>1081</v>
      </c>
      <c r="C97" s="862"/>
      <c r="D97" s="862"/>
      <c r="E97" s="863"/>
      <c r="F97" s="485">
        <v>80</v>
      </c>
    </row>
    <row r="98" spans="1:6" ht="15" customHeight="1">
      <c r="A98" s="442"/>
      <c r="B98" s="860" t="s">
        <v>1238</v>
      </c>
      <c r="C98" s="860"/>
      <c r="D98" s="860"/>
      <c r="E98" s="860"/>
      <c r="F98" s="485">
        <f>+A94</f>
        <v>7</v>
      </c>
    </row>
    <row r="99" spans="1:6" ht="15" customHeight="1">
      <c r="A99" s="658"/>
      <c r="B99" s="857" t="s">
        <v>1237</v>
      </c>
      <c r="C99" s="858"/>
      <c r="D99" s="858"/>
      <c r="E99" s="859"/>
      <c r="F99" s="795">
        <f>+F98*F97</f>
        <v>560</v>
      </c>
    </row>
    <row r="100" spans="1:6" ht="15" customHeight="1">
      <c r="A100" s="442"/>
      <c r="B100" s="860" t="str">
        <f>+"VALOR SOLUCIÓN INTERFERENCIAS REDES 11,4kV "&amp;B85&amp;""</f>
        <v>VALOR SOLUCIÓN INTERFERENCIAS REDES 11,4kV RECORRIDO ESTACION  LA VICTORIA - ALTAMIRA ALTERNATIVA 3</v>
      </c>
      <c r="C100" s="860"/>
      <c r="D100" s="860"/>
      <c r="E100" s="860"/>
      <c r="F100" s="484" t="e">
        <f>+F96*F97*F98</f>
        <v>#REF!</v>
      </c>
    </row>
    <row r="101" spans="1:6" ht="15" customHeight="1">
      <c r="A101" s="472"/>
      <c r="B101" s="473"/>
      <c r="C101" s="474"/>
      <c r="D101" s="475"/>
    </row>
    <row r="102" spans="1:6" ht="15" customHeight="1">
      <c r="A102" s="415"/>
      <c r="B102" s="654"/>
      <c r="C102" s="471"/>
      <c r="D102" s="469"/>
      <c r="E102" s="761"/>
      <c r="F102" s="761"/>
    </row>
    <row r="103" spans="1:6" ht="15" customHeight="1">
      <c r="A103" s="415"/>
      <c r="B103" s="654"/>
      <c r="C103" s="471"/>
      <c r="D103" s="469"/>
      <c r="E103" s="761"/>
      <c r="F103" s="761"/>
    </row>
    <row r="104" spans="1:6" ht="20.100000000000001" customHeight="1">
      <c r="A104" s="739"/>
      <c r="B104" s="762" t="s">
        <v>1213</v>
      </c>
      <c r="C104" s="740"/>
      <c r="D104" s="740"/>
      <c r="E104" s="741"/>
      <c r="F104" s="741"/>
    </row>
    <row r="105" spans="1:6" ht="15" customHeight="1">
      <c r="A105" s="466" t="s">
        <v>1004</v>
      </c>
      <c r="B105" s="466" t="s">
        <v>1005</v>
      </c>
      <c r="C105" s="466" t="s">
        <v>1006</v>
      </c>
      <c r="D105" s="480" t="s">
        <v>1007</v>
      </c>
      <c r="E105" s="717" t="s">
        <v>1139</v>
      </c>
      <c r="F105" s="717" t="s">
        <v>1140</v>
      </c>
    </row>
    <row r="106" spans="1:6" ht="15" customHeight="1">
      <c r="A106" s="730"/>
      <c r="B106" s="755"/>
      <c r="C106" s="756"/>
      <c r="D106" s="757"/>
      <c r="E106" s="719"/>
      <c r="F106" s="719"/>
    </row>
    <row r="107" spans="1:6" ht="15" customHeight="1">
      <c r="A107" s="384">
        <v>1</v>
      </c>
      <c r="B107" s="395" t="s">
        <v>1067</v>
      </c>
      <c r="C107" s="470" t="s">
        <v>1023</v>
      </c>
      <c r="D107" s="467" t="s">
        <v>1024</v>
      </c>
      <c r="E107" s="719" t="s">
        <v>1141</v>
      </c>
      <c r="F107" s="718" t="s">
        <v>1147</v>
      </c>
    </row>
    <row r="108" spans="1:6" ht="15" customHeight="1">
      <c r="A108" s="384">
        <v>2</v>
      </c>
      <c r="B108" s="395" t="s">
        <v>1068</v>
      </c>
      <c r="C108" s="470" t="s">
        <v>1026</v>
      </c>
      <c r="D108" s="467" t="s">
        <v>1033</v>
      </c>
      <c r="E108" s="719" t="s">
        <v>1141</v>
      </c>
      <c r="F108" s="718" t="s">
        <v>1147</v>
      </c>
    </row>
    <row r="109" spans="1:6" ht="24">
      <c r="A109" s="384">
        <v>3</v>
      </c>
      <c r="B109" s="510" t="s">
        <v>1069</v>
      </c>
      <c r="C109" s="468" t="s">
        <v>1070</v>
      </c>
      <c r="D109" s="468" t="s">
        <v>1071</v>
      </c>
      <c r="E109" s="719" t="s">
        <v>1141</v>
      </c>
      <c r="F109" s="718" t="s">
        <v>1147</v>
      </c>
    </row>
    <row r="110" spans="1:6" ht="15" customHeight="1">
      <c r="A110" s="384">
        <v>4</v>
      </c>
      <c r="B110" s="395" t="s">
        <v>1072</v>
      </c>
      <c r="C110" s="470" t="s">
        <v>1073</v>
      </c>
      <c r="D110" s="467" t="s">
        <v>1033</v>
      </c>
      <c r="E110" s="719" t="s">
        <v>1141</v>
      </c>
      <c r="F110" s="718" t="s">
        <v>1147</v>
      </c>
    </row>
    <row r="111" spans="1:6" ht="15" customHeight="1">
      <c r="A111" s="384">
        <v>5</v>
      </c>
      <c r="B111" s="395" t="s">
        <v>1074</v>
      </c>
      <c r="C111" s="470" t="s">
        <v>1075</v>
      </c>
      <c r="D111" s="467" t="s">
        <v>1076</v>
      </c>
      <c r="E111" s="719" t="s">
        <v>1141</v>
      </c>
      <c r="F111" s="718" t="s">
        <v>1147</v>
      </c>
    </row>
    <row r="112" spans="1:6" ht="15" customHeight="1">
      <c r="A112" s="634"/>
      <c r="B112" s="513"/>
      <c r="C112" s="514"/>
      <c r="D112" s="467"/>
      <c r="E112" s="719"/>
      <c r="F112" s="719"/>
    </row>
    <row r="113" spans="1:8" ht="15" customHeight="1">
      <c r="A113" s="442"/>
      <c r="B113" s="857" t="s">
        <v>1079</v>
      </c>
      <c r="C113" s="858"/>
      <c r="D113" s="858"/>
      <c r="E113" s="859"/>
      <c r="F113" s="485" t="e">
        <f>+$D$4</f>
        <v>#REF!</v>
      </c>
    </row>
    <row r="114" spans="1:8" ht="15" customHeight="1">
      <c r="A114" s="442"/>
      <c r="B114" s="857" t="s">
        <v>1081</v>
      </c>
      <c r="C114" s="858"/>
      <c r="D114" s="858"/>
      <c r="E114" s="859"/>
      <c r="F114" s="485">
        <v>80</v>
      </c>
    </row>
    <row r="115" spans="1:8" ht="15" customHeight="1">
      <c r="A115" s="442"/>
      <c r="B115" s="860" t="s">
        <v>1238</v>
      </c>
      <c r="C115" s="860"/>
      <c r="D115" s="860"/>
      <c r="E115" s="860"/>
      <c r="F115" s="485">
        <f>+A111</f>
        <v>5</v>
      </c>
    </row>
    <row r="116" spans="1:8" ht="15" customHeight="1">
      <c r="A116" s="658"/>
      <c r="B116" s="857" t="s">
        <v>1237</v>
      </c>
      <c r="C116" s="858"/>
      <c r="D116" s="858"/>
      <c r="E116" s="859"/>
      <c r="F116" s="795">
        <f>+F115*F114</f>
        <v>400</v>
      </c>
    </row>
    <row r="117" spans="1:8" ht="15" customHeight="1">
      <c r="A117" s="442"/>
      <c r="B117" s="860" t="str">
        <f>+"VALOR SOLUCIÓN INTERFERENCIAS REDES 11,4kV "&amp;B104&amp;""</f>
        <v>VALOR SOLUCIÓN INTERFERENCIAS REDES 11,4kV RECORRIDO ESTACION  LA VICTORIA -ALTAMIRA ALTERNATIVA 5</v>
      </c>
      <c r="C117" s="860"/>
      <c r="D117" s="860"/>
      <c r="E117" s="860"/>
      <c r="F117" s="484" t="e">
        <f>+F113*F114*F115</f>
        <v>#REF!</v>
      </c>
    </row>
    <row r="118" spans="1:8" ht="15" customHeight="1">
      <c r="A118" s="515"/>
      <c r="B118" s="515"/>
      <c r="C118" s="515"/>
      <c r="D118" s="511"/>
    </row>
    <row r="119" spans="1:8" ht="15" customHeight="1">
      <c r="A119" s="515"/>
      <c r="B119" s="515"/>
      <c r="C119" s="515"/>
      <c r="D119" s="511"/>
    </row>
    <row r="120" spans="1:8" ht="15" customHeight="1">
      <c r="A120" s="515"/>
      <c r="B120" s="515"/>
      <c r="C120" s="515"/>
      <c r="D120" s="511"/>
    </row>
    <row r="121" spans="1:8" ht="20.100000000000001" customHeight="1">
      <c r="A121" s="494"/>
      <c r="B121" s="762" t="s">
        <v>1208</v>
      </c>
      <c r="C121" s="479"/>
      <c r="D121" s="479"/>
      <c r="E121" s="715"/>
      <c r="F121" s="715"/>
    </row>
    <row r="122" spans="1:8" ht="15" customHeight="1">
      <c r="A122" s="481"/>
      <c r="B122" s="482"/>
      <c r="C122" s="483"/>
      <c r="D122" s="483"/>
      <c r="E122" s="720"/>
      <c r="F122" s="720"/>
    </row>
    <row r="123" spans="1:8" ht="15" customHeight="1">
      <c r="A123" s="466" t="s">
        <v>1004</v>
      </c>
      <c r="B123" s="466" t="s">
        <v>1005</v>
      </c>
      <c r="C123" s="466" t="s">
        <v>1006</v>
      </c>
      <c r="D123" s="480" t="s">
        <v>1007</v>
      </c>
      <c r="E123" s="717" t="s">
        <v>1139</v>
      </c>
      <c r="F123" s="717" t="s">
        <v>1140</v>
      </c>
    </row>
    <row r="124" spans="1:8" ht="15" customHeight="1">
      <c r="A124" s="384">
        <v>1</v>
      </c>
      <c r="B124" s="371" t="s">
        <v>1164</v>
      </c>
      <c r="C124" s="470" t="s">
        <v>1030</v>
      </c>
      <c r="D124" s="467" t="s">
        <v>1077</v>
      </c>
      <c r="E124" s="719" t="s">
        <v>1135</v>
      </c>
      <c r="F124" s="719" t="s">
        <v>1214</v>
      </c>
      <c r="G124" s="869" t="s">
        <v>1171</v>
      </c>
      <c r="H124" s="869"/>
    </row>
    <row r="125" spans="1:8" ht="15" customHeight="1">
      <c r="A125" s="384">
        <v>2</v>
      </c>
      <c r="B125" s="371" t="s">
        <v>1165</v>
      </c>
      <c r="C125" s="470" t="s">
        <v>1023</v>
      </c>
      <c r="D125" s="467" t="s">
        <v>1061</v>
      </c>
      <c r="E125" s="719" t="s">
        <v>1135</v>
      </c>
      <c r="F125" s="719" t="s">
        <v>1214</v>
      </c>
      <c r="G125" s="869"/>
      <c r="H125" s="869"/>
    </row>
    <row r="126" spans="1:8" ht="15" customHeight="1">
      <c r="A126" s="384">
        <v>3</v>
      </c>
      <c r="B126" s="371" t="s">
        <v>1166</v>
      </c>
      <c r="C126" s="470" t="s">
        <v>1035</v>
      </c>
      <c r="D126" s="467" t="s">
        <v>1036</v>
      </c>
      <c r="E126" s="719" t="s">
        <v>1135</v>
      </c>
      <c r="F126" s="719" t="s">
        <v>1214</v>
      </c>
      <c r="G126" s="869"/>
      <c r="H126" s="869"/>
    </row>
    <row r="127" spans="1:8" ht="15" customHeight="1">
      <c r="A127" s="384">
        <v>4</v>
      </c>
      <c r="B127" s="371" t="s">
        <v>1167</v>
      </c>
      <c r="C127" s="470" t="s">
        <v>1035</v>
      </c>
      <c r="D127" s="467" t="s">
        <v>1036</v>
      </c>
      <c r="E127" s="719" t="s">
        <v>1135</v>
      </c>
      <c r="F127" s="719" t="s">
        <v>1214</v>
      </c>
      <c r="G127" s="869"/>
      <c r="H127" s="869"/>
    </row>
    <row r="128" spans="1:8" ht="15" customHeight="1">
      <c r="A128" s="384">
        <v>5</v>
      </c>
      <c r="B128" s="371" t="s">
        <v>1168</v>
      </c>
      <c r="C128" s="470" t="s">
        <v>1078</v>
      </c>
      <c r="D128" s="467" t="s">
        <v>1077</v>
      </c>
      <c r="E128" s="719" t="s">
        <v>1135</v>
      </c>
      <c r="F128" s="719" t="s">
        <v>1214</v>
      </c>
      <c r="G128" s="869"/>
      <c r="H128" s="869"/>
    </row>
    <row r="129" spans="1:8" ht="15" customHeight="1">
      <c r="A129" s="384">
        <v>6</v>
      </c>
      <c r="B129" s="371" t="s">
        <v>1169</v>
      </c>
      <c r="C129" s="470" t="s">
        <v>1078</v>
      </c>
      <c r="D129" s="467" t="s">
        <v>1077</v>
      </c>
      <c r="E129" s="719" t="s">
        <v>1135</v>
      </c>
      <c r="F129" s="719" t="s">
        <v>1214</v>
      </c>
      <c r="G129" s="869"/>
      <c r="H129" s="869"/>
    </row>
    <row r="130" spans="1:8" ht="15" customHeight="1">
      <c r="A130" s="447"/>
      <c r="B130" s="430"/>
      <c r="C130" s="476"/>
      <c r="D130" s="484"/>
      <c r="E130" s="719"/>
      <c r="F130" s="719"/>
    </row>
    <row r="131" spans="1:8" ht="15.75">
      <c r="A131" s="442"/>
      <c r="B131" s="861" t="s">
        <v>1079</v>
      </c>
      <c r="C131" s="862"/>
      <c r="D131" s="862"/>
      <c r="E131" s="863"/>
      <c r="F131" s="485" t="e">
        <f>+$D$4</f>
        <v>#REF!</v>
      </c>
    </row>
    <row r="132" spans="1:8" ht="15.75">
      <c r="A132" s="442"/>
      <c r="B132" s="861" t="s">
        <v>1081</v>
      </c>
      <c r="C132" s="862"/>
      <c r="D132" s="862"/>
      <c r="E132" s="863"/>
      <c r="F132" s="485">
        <v>80</v>
      </c>
    </row>
    <row r="133" spans="1:8" ht="15.75">
      <c r="A133" s="442"/>
      <c r="B133" s="860" t="s">
        <v>1238</v>
      </c>
      <c r="C133" s="860"/>
      <c r="D133" s="860"/>
      <c r="E133" s="860"/>
      <c r="F133" s="485">
        <f>+A129</f>
        <v>6</v>
      </c>
    </row>
    <row r="134" spans="1:8" ht="15.75">
      <c r="A134" s="658"/>
      <c r="B134" s="857" t="s">
        <v>1237</v>
      </c>
      <c r="C134" s="858"/>
      <c r="D134" s="858"/>
      <c r="E134" s="859"/>
      <c r="F134" s="795">
        <f>+F133*F132</f>
        <v>480</v>
      </c>
    </row>
    <row r="135" spans="1:8" ht="15.75">
      <c r="A135" s="442"/>
      <c r="B135" s="860" t="str">
        <f>+"VALOR SOLUCIÓN INTERFERENCIAS REDES 11,4kV "&amp;B121&amp;""</f>
        <v>VALOR SOLUCIÓN INTERFERENCIAS REDES 11,4kV RECORRIDO  NUEVA ESTACIÓN INTERMEDIA - JUAN REY ALTERNATIVA 1</v>
      </c>
      <c r="C135" s="860"/>
      <c r="D135" s="860"/>
      <c r="E135" s="860"/>
      <c r="F135" s="484" t="e">
        <f>+F131*F132*F133</f>
        <v>#REF!</v>
      </c>
    </row>
    <row r="139" spans="1:8" ht="20.100000000000001" customHeight="1">
      <c r="A139" s="494"/>
      <c r="B139" s="762" t="s">
        <v>1209</v>
      </c>
      <c r="C139" s="479"/>
      <c r="D139" s="479"/>
      <c r="E139" s="715"/>
      <c r="F139" s="715"/>
    </row>
    <row r="140" spans="1:8" ht="15.75">
      <c r="A140" s="481"/>
      <c r="B140" s="482"/>
      <c r="C140" s="483"/>
      <c r="D140" s="483"/>
      <c r="E140" s="720"/>
      <c r="F140" s="720"/>
    </row>
    <row r="141" spans="1:8" ht="15">
      <c r="A141" s="466" t="s">
        <v>1004</v>
      </c>
      <c r="B141" s="466" t="s">
        <v>1005</v>
      </c>
      <c r="C141" s="466" t="s">
        <v>1006</v>
      </c>
      <c r="D141" s="480" t="s">
        <v>1007</v>
      </c>
      <c r="E141" s="717" t="s">
        <v>1139</v>
      </c>
      <c r="F141" s="717" t="s">
        <v>1140</v>
      </c>
    </row>
    <row r="142" spans="1:8" ht="24">
      <c r="A142" s="384">
        <v>1</v>
      </c>
      <c r="B142" s="371" t="s">
        <v>1164</v>
      </c>
      <c r="C142" s="470" t="s">
        <v>1030</v>
      </c>
      <c r="D142" s="467" t="s">
        <v>1077</v>
      </c>
      <c r="E142" s="719" t="s">
        <v>1135</v>
      </c>
      <c r="F142" s="719" t="s">
        <v>1215</v>
      </c>
      <c r="G142" s="869" t="s">
        <v>1171</v>
      </c>
      <c r="H142" s="869"/>
    </row>
    <row r="143" spans="1:8">
      <c r="A143" s="384">
        <v>2</v>
      </c>
      <c r="B143" s="371" t="s">
        <v>1165</v>
      </c>
      <c r="C143" s="470" t="s">
        <v>1023</v>
      </c>
      <c r="D143" s="467" t="s">
        <v>1061</v>
      </c>
      <c r="E143" s="719" t="s">
        <v>1135</v>
      </c>
      <c r="F143" s="719" t="s">
        <v>1215</v>
      </c>
      <c r="G143" s="869"/>
      <c r="H143" s="869"/>
    </row>
    <row r="144" spans="1:8">
      <c r="A144" s="384">
        <v>3</v>
      </c>
      <c r="B144" s="371" t="s">
        <v>1166</v>
      </c>
      <c r="C144" s="470" t="s">
        <v>1035</v>
      </c>
      <c r="D144" s="467" t="s">
        <v>1036</v>
      </c>
      <c r="E144" s="719" t="s">
        <v>1135</v>
      </c>
      <c r="F144" s="719" t="s">
        <v>1215</v>
      </c>
      <c r="G144" s="869"/>
      <c r="H144" s="869"/>
    </row>
    <row r="145" spans="1:8">
      <c r="A145" s="384">
        <v>4</v>
      </c>
      <c r="B145" s="371" t="s">
        <v>1167</v>
      </c>
      <c r="C145" s="470" t="s">
        <v>1035</v>
      </c>
      <c r="D145" s="467" t="s">
        <v>1036</v>
      </c>
      <c r="E145" s="719" t="s">
        <v>1135</v>
      </c>
      <c r="F145" s="719" t="s">
        <v>1215</v>
      </c>
      <c r="G145" s="869"/>
      <c r="H145" s="869"/>
    </row>
    <row r="146" spans="1:8" ht="24">
      <c r="A146" s="384">
        <v>5</v>
      </c>
      <c r="B146" s="371" t="s">
        <v>1168</v>
      </c>
      <c r="C146" s="470" t="s">
        <v>1078</v>
      </c>
      <c r="D146" s="467" t="s">
        <v>1077</v>
      </c>
      <c r="E146" s="719" t="s">
        <v>1135</v>
      </c>
      <c r="F146" s="719" t="s">
        <v>1215</v>
      </c>
      <c r="G146" s="869"/>
      <c r="H146" s="869"/>
    </row>
    <row r="147" spans="1:8" ht="24">
      <c r="A147" s="384">
        <v>6</v>
      </c>
      <c r="B147" s="371" t="s">
        <v>1169</v>
      </c>
      <c r="C147" s="470" t="s">
        <v>1078</v>
      </c>
      <c r="D147" s="467" t="s">
        <v>1077</v>
      </c>
      <c r="E147" s="719" t="s">
        <v>1135</v>
      </c>
      <c r="F147" s="719" t="s">
        <v>1215</v>
      </c>
      <c r="G147" s="869"/>
      <c r="H147" s="869"/>
    </row>
    <row r="148" spans="1:8" ht="24">
      <c r="A148" s="432">
        <v>7</v>
      </c>
      <c r="B148" s="678" t="s">
        <v>1170</v>
      </c>
      <c r="C148" s="679" t="s">
        <v>1078</v>
      </c>
      <c r="D148" s="468" t="s">
        <v>1077</v>
      </c>
      <c r="E148" s="721" t="s">
        <v>1135</v>
      </c>
      <c r="F148" s="719" t="s">
        <v>1215</v>
      </c>
      <c r="G148" s="869" t="s">
        <v>1172</v>
      </c>
      <c r="H148" s="869"/>
    </row>
    <row r="149" spans="1:8" ht="15.75">
      <c r="A149" s="447"/>
      <c r="B149" s="430"/>
      <c r="C149" s="476"/>
      <c r="D149" s="484"/>
      <c r="E149" s="719"/>
      <c r="F149" s="719"/>
    </row>
    <row r="150" spans="1:8" ht="15.75">
      <c r="A150" s="442"/>
      <c r="B150" s="861" t="s">
        <v>1079</v>
      </c>
      <c r="C150" s="862"/>
      <c r="D150" s="862"/>
      <c r="E150" s="863"/>
      <c r="F150" s="485" t="e">
        <f>+$D$4</f>
        <v>#REF!</v>
      </c>
    </row>
    <row r="151" spans="1:8" ht="15.75">
      <c r="A151" s="442"/>
      <c r="B151" s="861" t="s">
        <v>1081</v>
      </c>
      <c r="C151" s="862"/>
      <c r="D151" s="862"/>
      <c r="E151" s="863"/>
      <c r="F151" s="485">
        <v>80</v>
      </c>
    </row>
    <row r="152" spans="1:8" ht="15.75">
      <c r="A152" s="442"/>
      <c r="B152" s="860" t="s">
        <v>1238</v>
      </c>
      <c r="C152" s="860"/>
      <c r="D152" s="860"/>
      <c r="E152" s="860"/>
      <c r="F152" s="485">
        <f>+A148</f>
        <v>7</v>
      </c>
    </row>
    <row r="153" spans="1:8" ht="15.75">
      <c r="A153" s="658"/>
      <c r="B153" s="857" t="s">
        <v>1237</v>
      </c>
      <c r="C153" s="858"/>
      <c r="D153" s="858"/>
      <c r="E153" s="859"/>
      <c r="F153" s="795">
        <f>+F152*F151</f>
        <v>560</v>
      </c>
    </row>
    <row r="154" spans="1:8" ht="15.75">
      <c r="A154" s="857" t="str">
        <f>+"VALOR SOLUCIÓN INTERFERENCIAS REDES 11,4kV "&amp;B139&amp;""</f>
        <v>VALOR SOLUCIÓN INTERFERENCIAS REDES 11,4kV RECORRIDO  NUEVA ESTACIÓN INTERMEDIA - JUAN REY ALTERNATIVA 2</v>
      </c>
      <c r="B154" s="858"/>
      <c r="C154" s="858"/>
      <c r="D154" s="858"/>
      <c r="E154" s="859"/>
      <c r="F154" s="484" t="e">
        <f>+F150*F151*F152</f>
        <v>#REF!</v>
      </c>
    </row>
    <row r="157" spans="1:8" ht="20.100000000000001" customHeight="1"/>
    <row r="158" spans="1:8" ht="15.75">
      <c r="A158" s="494"/>
      <c r="B158" s="762" t="s">
        <v>1210</v>
      </c>
      <c r="C158" s="479"/>
      <c r="D158" s="479"/>
      <c r="E158" s="715"/>
      <c r="F158" s="715"/>
    </row>
    <row r="159" spans="1:8" ht="15.75">
      <c r="A159" s="481"/>
      <c r="B159" s="482"/>
      <c r="C159" s="483"/>
      <c r="D159" s="483"/>
      <c r="E159" s="720"/>
      <c r="F159" s="720"/>
    </row>
    <row r="160" spans="1:8" ht="15">
      <c r="A160" s="466" t="s">
        <v>1004</v>
      </c>
      <c r="B160" s="466" t="s">
        <v>1005</v>
      </c>
      <c r="C160" s="466" t="s">
        <v>1006</v>
      </c>
      <c r="D160" s="480" t="s">
        <v>1007</v>
      </c>
      <c r="E160" s="717" t="s">
        <v>1139</v>
      </c>
      <c r="F160" s="717" t="s">
        <v>1140</v>
      </c>
      <c r="G160" s="869" t="s">
        <v>1171</v>
      </c>
      <c r="H160" s="869"/>
    </row>
    <row r="161" spans="1:8" ht="24">
      <c r="A161" s="384">
        <v>1</v>
      </c>
      <c r="B161" s="371" t="s">
        <v>1164</v>
      </c>
      <c r="C161" s="470" t="s">
        <v>1030</v>
      </c>
      <c r="D161" s="467" t="s">
        <v>1077</v>
      </c>
      <c r="E161" s="719" t="s">
        <v>1135</v>
      </c>
      <c r="F161" s="719" t="s">
        <v>1216</v>
      </c>
      <c r="G161" s="869"/>
      <c r="H161" s="869"/>
    </row>
    <row r="162" spans="1:8">
      <c r="A162" s="384">
        <v>2</v>
      </c>
      <c r="B162" s="371" t="s">
        <v>1165</v>
      </c>
      <c r="C162" s="470" t="s">
        <v>1023</v>
      </c>
      <c r="D162" s="467" t="s">
        <v>1061</v>
      </c>
      <c r="E162" s="719" t="s">
        <v>1135</v>
      </c>
      <c r="F162" s="719" t="s">
        <v>1216</v>
      </c>
      <c r="G162" s="869"/>
      <c r="H162" s="869"/>
    </row>
    <row r="163" spans="1:8">
      <c r="A163" s="384">
        <v>3</v>
      </c>
      <c r="B163" s="371" t="s">
        <v>1166</v>
      </c>
      <c r="C163" s="470" t="s">
        <v>1035</v>
      </c>
      <c r="D163" s="467" t="s">
        <v>1036</v>
      </c>
      <c r="E163" s="719" t="s">
        <v>1135</v>
      </c>
      <c r="F163" s="719" t="s">
        <v>1216</v>
      </c>
      <c r="G163" s="869"/>
      <c r="H163" s="869"/>
    </row>
    <row r="164" spans="1:8">
      <c r="A164" s="384">
        <v>4</v>
      </c>
      <c r="B164" s="371" t="s">
        <v>1167</v>
      </c>
      <c r="C164" s="470" t="s">
        <v>1035</v>
      </c>
      <c r="D164" s="467" t="s">
        <v>1036</v>
      </c>
      <c r="E164" s="719" t="s">
        <v>1135</v>
      </c>
      <c r="F164" s="719" t="s">
        <v>1216</v>
      </c>
      <c r="G164" s="869"/>
      <c r="H164" s="869"/>
    </row>
    <row r="165" spans="1:8" ht="24">
      <c r="A165" s="384">
        <v>5</v>
      </c>
      <c r="B165" s="371" t="s">
        <v>1168</v>
      </c>
      <c r="C165" s="470" t="s">
        <v>1078</v>
      </c>
      <c r="D165" s="467" t="s">
        <v>1077</v>
      </c>
      <c r="E165" s="719" t="s">
        <v>1135</v>
      </c>
      <c r="F165" s="719" t="s">
        <v>1216</v>
      </c>
      <c r="G165" s="869"/>
      <c r="H165" s="869"/>
    </row>
    <row r="166" spans="1:8" ht="24">
      <c r="A166" s="384">
        <v>6</v>
      </c>
      <c r="B166" s="371" t="s">
        <v>1169</v>
      </c>
      <c r="C166" s="470" t="s">
        <v>1078</v>
      </c>
      <c r="D166" s="467" t="s">
        <v>1077</v>
      </c>
      <c r="E166" s="719" t="s">
        <v>1135</v>
      </c>
      <c r="F166" s="719" t="s">
        <v>1216</v>
      </c>
      <c r="G166" s="869" t="s">
        <v>1172</v>
      </c>
      <c r="H166" s="869"/>
    </row>
    <row r="167" spans="1:8" ht="24">
      <c r="A167" s="432">
        <v>7</v>
      </c>
      <c r="B167" s="678" t="s">
        <v>1170</v>
      </c>
      <c r="C167" s="679" t="s">
        <v>1078</v>
      </c>
      <c r="D167" s="468" t="s">
        <v>1077</v>
      </c>
      <c r="E167" s="721" t="s">
        <v>1135</v>
      </c>
      <c r="F167" s="719" t="s">
        <v>1216</v>
      </c>
    </row>
    <row r="168" spans="1:8" ht="15.75">
      <c r="A168" s="447"/>
      <c r="B168" s="430"/>
      <c r="C168" s="476"/>
      <c r="D168" s="484"/>
      <c r="E168" s="719"/>
      <c r="F168" s="719"/>
    </row>
    <row r="169" spans="1:8" ht="15.75">
      <c r="A169" s="442"/>
      <c r="B169" s="861" t="s">
        <v>1079</v>
      </c>
      <c r="C169" s="862"/>
      <c r="D169" s="862"/>
      <c r="E169" s="863"/>
      <c r="F169" s="485" t="e">
        <f>+$D$4</f>
        <v>#REF!</v>
      </c>
    </row>
    <row r="170" spans="1:8" ht="15.75">
      <c r="A170" s="442"/>
      <c r="B170" s="861" t="s">
        <v>1081</v>
      </c>
      <c r="C170" s="862"/>
      <c r="D170" s="862"/>
      <c r="E170" s="863"/>
      <c r="F170" s="485">
        <v>80</v>
      </c>
    </row>
    <row r="171" spans="1:8" ht="15.75">
      <c r="A171" s="442"/>
      <c r="B171" s="860" t="s">
        <v>1238</v>
      </c>
      <c r="C171" s="860"/>
      <c r="D171" s="860"/>
      <c r="E171" s="860"/>
      <c r="F171" s="485">
        <f>+A167</f>
        <v>7</v>
      </c>
    </row>
    <row r="172" spans="1:8" ht="15.75">
      <c r="A172" s="658"/>
      <c r="B172" s="857" t="s">
        <v>1237</v>
      </c>
      <c r="C172" s="858"/>
      <c r="D172" s="858"/>
      <c r="E172" s="859"/>
      <c r="F172" s="795">
        <f>+F171*F170</f>
        <v>560</v>
      </c>
    </row>
    <row r="173" spans="1:8" ht="15.75">
      <c r="A173" s="857" t="str">
        <f>+"VALOR SOLUCIÓN INTERFERENCIAS REDES 11,4kV "&amp;B158&amp;""</f>
        <v>VALOR SOLUCIÓN INTERFERENCIAS REDES 11,4kV RECORRIDO  NUEVA ESTACIÓN INTERMEDIA - JUAN REY ALTERNATIVA 3</v>
      </c>
      <c r="B173" s="858"/>
      <c r="C173" s="858"/>
      <c r="D173" s="858"/>
      <c r="E173" s="859"/>
      <c r="F173" s="484" t="e">
        <f>+F169*F170*F171</f>
        <v>#REF!</v>
      </c>
    </row>
  </sheetData>
  <mergeCells count="55">
    <mergeCell ref="B134:E134"/>
    <mergeCell ref="B153:E153"/>
    <mergeCell ref="B172:E172"/>
    <mergeCell ref="G124:H129"/>
    <mergeCell ref="B135:E135"/>
    <mergeCell ref="G142:H147"/>
    <mergeCell ref="G148:H148"/>
    <mergeCell ref="B150:E150"/>
    <mergeCell ref="B151:E151"/>
    <mergeCell ref="B152:E152"/>
    <mergeCell ref="B171:E171"/>
    <mergeCell ref="B133:E133"/>
    <mergeCell ref="G160:H165"/>
    <mergeCell ref="G166:H166"/>
    <mergeCell ref="B58:E58"/>
    <mergeCell ref="B59:E59"/>
    <mergeCell ref="B60:E60"/>
    <mergeCell ref="B62:E62"/>
    <mergeCell ref="B22:E22"/>
    <mergeCell ref="B40:E40"/>
    <mergeCell ref="B41:E41"/>
    <mergeCell ref="B42:E42"/>
    <mergeCell ref="B44:E44"/>
    <mergeCell ref="B23:E23"/>
    <mergeCell ref="A2:D2"/>
    <mergeCell ref="A4:C4"/>
    <mergeCell ref="A5:C5"/>
    <mergeCell ref="A6:C6"/>
    <mergeCell ref="A3:D3"/>
    <mergeCell ref="B117:E117"/>
    <mergeCell ref="B131:E131"/>
    <mergeCell ref="B132:E132"/>
    <mergeCell ref="B116:E116"/>
    <mergeCell ref="B96:E96"/>
    <mergeCell ref="B77:E77"/>
    <mergeCell ref="B78:E78"/>
    <mergeCell ref="B79:E79"/>
    <mergeCell ref="B81:E81"/>
    <mergeCell ref="B115:E115"/>
    <mergeCell ref="B24:E24"/>
    <mergeCell ref="B26:E26"/>
    <mergeCell ref="B25:E25"/>
    <mergeCell ref="B43:E43"/>
    <mergeCell ref="A173:E173"/>
    <mergeCell ref="A154:E154"/>
    <mergeCell ref="B169:E169"/>
    <mergeCell ref="B170:E170"/>
    <mergeCell ref="B114:E114"/>
    <mergeCell ref="B61:E61"/>
    <mergeCell ref="B80:E80"/>
    <mergeCell ref="B99:E99"/>
    <mergeCell ref="B97:E97"/>
    <mergeCell ref="B98:E98"/>
    <mergeCell ref="B100:E100"/>
    <mergeCell ref="B113:E113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4"/>
  <sheetViews>
    <sheetView topLeftCell="A25" zoomScaleNormal="100" workbookViewId="0">
      <selection activeCell="E65" sqref="E65"/>
    </sheetView>
  </sheetViews>
  <sheetFormatPr baseColWidth="10" defaultRowHeight="14.25"/>
  <cols>
    <col min="1" max="1" width="9.375" customWidth="1"/>
    <col min="2" max="2" width="6.875" bestFit="1" customWidth="1"/>
    <col min="3" max="3" width="59.375" customWidth="1"/>
    <col min="6" max="6" width="12.625" bestFit="1" customWidth="1"/>
    <col min="7" max="7" width="18.25" bestFit="1" customWidth="1"/>
    <col min="8" max="8" width="91.375" bestFit="1" customWidth="1"/>
  </cols>
  <sheetData>
    <row r="1" spans="1:10">
      <c r="A1" s="875" t="s">
        <v>1136</v>
      </c>
      <c r="B1" s="875"/>
      <c r="C1" s="875"/>
      <c r="D1" s="875"/>
      <c r="E1" s="875"/>
      <c r="F1" s="875"/>
      <c r="G1" s="875"/>
    </row>
    <row r="2" spans="1:10">
      <c r="A2" s="875"/>
      <c r="B2" s="875"/>
      <c r="C2" s="875"/>
      <c r="D2" s="875"/>
      <c r="E2" s="875"/>
      <c r="F2" s="875"/>
      <c r="G2" s="875"/>
    </row>
    <row r="3" spans="1:10">
      <c r="A3" s="876"/>
      <c r="B3" s="876"/>
      <c r="C3" s="876"/>
      <c r="D3" s="876"/>
      <c r="E3" s="876"/>
      <c r="F3" s="876"/>
      <c r="G3" s="876"/>
    </row>
    <row r="4" spans="1:10" ht="30" customHeight="1">
      <c r="A4" s="870" t="s">
        <v>667</v>
      </c>
      <c r="B4" s="870"/>
      <c r="C4" s="870"/>
      <c r="D4" s="870"/>
      <c r="E4" s="870"/>
      <c r="F4" s="870"/>
      <c r="G4" s="871"/>
      <c r="H4" s="658"/>
    </row>
    <row r="5" spans="1:10" ht="15.75" customHeight="1">
      <c r="A5" s="872"/>
      <c r="B5" s="873"/>
      <c r="C5" s="873"/>
      <c r="D5" s="873"/>
      <c r="E5" s="873"/>
      <c r="F5" s="873"/>
      <c r="G5" s="874"/>
      <c r="H5" s="658"/>
    </row>
    <row r="6" spans="1:10" ht="15.75" customHeight="1">
      <c r="A6" s="347"/>
      <c r="B6" s="358"/>
      <c r="C6" s="358" t="s">
        <v>718</v>
      </c>
      <c r="D6" s="358"/>
      <c r="E6" s="358"/>
      <c r="F6" s="358"/>
      <c r="G6" s="625"/>
      <c r="H6" s="696"/>
    </row>
    <row r="7" spans="1:10" ht="25.5">
      <c r="A7" s="345" t="s">
        <v>593</v>
      </c>
      <c r="B7" s="345" t="s">
        <v>611</v>
      </c>
      <c r="C7" s="345" t="s">
        <v>594</v>
      </c>
      <c r="D7" s="345" t="s">
        <v>630</v>
      </c>
      <c r="E7" s="345" t="s">
        <v>656</v>
      </c>
      <c r="F7" s="346" t="s">
        <v>655</v>
      </c>
      <c r="G7" s="626" t="s">
        <v>610</v>
      </c>
      <c r="H7" s="689" t="s">
        <v>1137</v>
      </c>
    </row>
    <row r="8" spans="1:10" ht="60">
      <c r="A8" s="308">
        <v>1</v>
      </c>
      <c r="B8" s="309" t="s">
        <v>608</v>
      </c>
      <c r="C8" s="440" t="s">
        <v>1090</v>
      </c>
      <c r="D8" s="311" t="str">
        <f>+VLOOKUP(C8,ITEMS!A$4:C$101,2,0)</f>
        <v>Un</v>
      </c>
      <c r="E8" s="312">
        <v>4</v>
      </c>
      <c r="F8" s="313">
        <f>+VLOOKUP(C8,ITEMS!A$4:D$101,3,0)</f>
        <v>3092862</v>
      </c>
      <c r="G8" s="627">
        <f>+E8*F8</f>
        <v>12371448</v>
      </c>
      <c r="H8" s="371"/>
    </row>
    <row r="9" spans="1:10" ht="28.5">
      <c r="A9" s="304">
        <v>2</v>
      </c>
      <c r="B9" s="276" t="s">
        <v>609</v>
      </c>
      <c r="C9" s="310" t="s">
        <v>612</v>
      </c>
      <c r="D9" s="252" t="str">
        <f>+VLOOKUP(C9,ITEMS!A$4:C$101,2,0)</f>
        <v>Un</v>
      </c>
      <c r="E9" s="418">
        <v>4</v>
      </c>
      <c r="F9" s="307">
        <f>+VLOOKUP(C9,ITEMS!A$4:D$101,3,0)</f>
        <v>524196</v>
      </c>
      <c r="G9" s="628">
        <f t="shared" ref="G9:G17" si="0">+E9*F9</f>
        <v>2096784</v>
      </c>
      <c r="H9" s="371"/>
    </row>
    <row r="10" spans="1:10" ht="28.5">
      <c r="A10" s="304">
        <v>3</v>
      </c>
      <c r="B10" s="276"/>
      <c r="C10" s="310" t="s">
        <v>628</v>
      </c>
      <c r="D10" s="252" t="str">
        <f>+VLOOKUP(C10,ITEMS!A$4:C$101,2,0)</f>
        <v>Un</v>
      </c>
      <c r="E10" s="418">
        <v>2</v>
      </c>
      <c r="F10" s="307">
        <f>+VLOOKUP(C10,ITEMS!A$4:D$101,3,0)</f>
        <v>968212</v>
      </c>
      <c r="G10" s="628">
        <f t="shared" si="0"/>
        <v>1936424</v>
      </c>
      <c r="H10" s="395"/>
      <c r="I10" s="324"/>
      <c r="J10" s="324"/>
    </row>
    <row r="11" spans="1:10" ht="16.5">
      <c r="A11" s="304">
        <v>5</v>
      </c>
      <c r="B11" s="276" t="s">
        <v>613</v>
      </c>
      <c r="C11" s="310" t="s">
        <v>805</v>
      </c>
      <c r="D11" s="252" t="str">
        <f>+VLOOKUP(C11,ITEMS!A$4:C$101,2,0)</f>
        <v>Un</v>
      </c>
      <c r="E11" s="418">
        <v>8</v>
      </c>
      <c r="F11" s="307">
        <f>+VLOOKUP(C11,ITEMS!A$4:D$101,3,0)</f>
        <v>2176709</v>
      </c>
      <c r="G11" s="628">
        <f t="shared" si="0"/>
        <v>17413672</v>
      </c>
      <c r="H11" s="395"/>
      <c r="I11" s="324"/>
      <c r="J11" s="324"/>
    </row>
    <row r="12" spans="1:10" ht="16.5">
      <c r="A12" s="305">
        <v>8</v>
      </c>
      <c r="B12" s="327" t="s">
        <v>685</v>
      </c>
      <c r="C12" s="310" t="s">
        <v>682</v>
      </c>
      <c r="D12" s="252" t="str">
        <f>+VLOOKUP(C12,ITEMS!A$4:C$101,2,0)</f>
        <v>m</v>
      </c>
      <c r="E12" s="418">
        <f>292-8-20</f>
        <v>264</v>
      </c>
      <c r="F12" s="307">
        <f>+VLOOKUP(C12,ITEMS!A$4:D$101,3,0)</f>
        <v>448214</v>
      </c>
      <c r="G12" s="628">
        <f>+E12*F12</f>
        <v>118328496</v>
      </c>
      <c r="H12" s="371" t="s">
        <v>721</v>
      </c>
    </row>
    <row r="13" spans="1:10" ht="28.5">
      <c r="A13" s="316">
        <v>9</v>
      </c>
      <c r="B13" s="327" t="s">
        <v>685</v>
      </c>
      <c r="C13" s="310" t="s">
        <v>684</v>
      </c>
      <c r="D13" s="252" t="str">
        <f>+VLOOKUP(C13,ITEMS!A$4:C$101,2,0)</f>
        <v>m</v>
      </c>
      <c r="E13" s="418">
        <v>20</v>
      </c>
      <c r="F13" s="307">
        <f>+VLOOKUP(C13,ITEMS!A$4:D$101,3,0)</f>
        <v>709513</v>
      </c>
      <c r="G13" s="628">
        <f>+E13*F13</f>
        <v>14190260</v>
      </c>
      <c r="H13" s="371" t="s">
        <v>722</v>
      </c>
    </row>
    <row r="14" spans="1:10" ht="28.5">
      <c r="A14" s="316">
        <v>10</v>
      </c>
      <c r="B14" s="327"/>
      <c r="C14" s="310" t="s">
        <v>833</v>
      </c>
      <c r="D14" s="252" t="str">
        <f>+VLOOKUP(C14,ITEMS!A$4:C$101,2,0)</f>
        <v>m</v>
      </c>
      <c r="E14" s="418">
        <f>272+48+86+16</f>
        <v>422</v>
      </c>
      <c r="F14" s="307">
        <f>+VLOOKUP(C14,ITEMS!A$4:D$101,3,0)</f>
        <v>101944</v>
      </c>
      <c r="G14" s="628">
        <f t="shared" si="0"/>
        <v>43020368</v>
      </c>
      <c r="H14" s="371" t="s">
        <v>731</v>
      </c>
    </row>
    <row r="15" spans="1:10" ht="16.5">
      <c r="A15" s="316">
        <v>11</v>
      </c>
      <c r="B15" s="327" t="s">
        <v>660</v>
      </c>
      <c r="C15" s="310" t="s">
        <v>636</v>
      </c>
      <c r="D15" s="252" t="str">
        <f>+VLOOKUP(C15,ITEMS!A$4:C$101,2,0)</f>
        <v>Un</v>
      </c>
      <c r="E15" s="418">
        <v>2</v>
      </c>
      <c r="F15" s="307">
        <f>+VLOOKUP(C15,ITEMS!A$4:D$101,3,0)</f>
        <v>775107</v>
      </c>
      <c r="G15" s="628">
        <f t="shared" si="0"/>
        <v>1550214</v>
      </c>
      <c r="H15" s="371"/>
    </row>
    <row r="16" spans="1:10" ht="16.5">
      <c r="A16" s="316">
        <v>12</v>
      </c>
      <c r="B16" s="306"/>
      <c r="C16" s="310" t="s">
        <v>629</v>
      </c>
      <c r="D16" s="252" t="str">
        <f>+VLOOKUP(C16,ITEMS!A$4:C$101,2,0)</f>
        <v>Un</v>
      </c>
      <c r="E16" s="418">
        <v>2</v>
      </c>
      <c r="F16" s="307">
        <f>+VLOOKUP(C16,ITEMS!A$4:D$101,3,0)</f>
        <v>461792</v>
      </c>
      <c r="G16" s="628">
        <f t="shared" si="0"/>
        <v>923584</v>
      </c>
      <c r="H16" s="371"/>
    </row>
    <row r="17" spans="1:12" ht="16.5">
      <c r="A17" s="316">
        <v>13</v>
      </c>
      <c r="B17" s="316"/>
      <c r="C17" s="310" t="s">
        <v>666</v>
      </c>
      <c r="D17" s="252" t="str">
        <f>+VLOOKUP(C17,ITEMS!A$4:C$101,2,0)</f>
        <v>Un</v>
      </c>
      <c r="E17" s="418">
        <v>9</v>
      </c>
      <c r="F17" s="307">
        <f>+VLOOKUP(C17,ITEMS!A$4:D$101,3,0)</f>
        <v>130900</v>
      </c>
      <c r="G17" s="628">
        <f t="shared" si="0"/>
        <v>1178100</v>
      </c>
      <c r="H17" s="395" t="s">
        <v>669</v>
      </c>
      <c r="I17" s="324"/>
      <c r="J17" s="324"/>
      <c r="K17" s="324"/>
      <c r="L17" s="324"/>
    </row>
    <row r="18" spans="1:12" ht="16.5">
      <c r="A18" s="316">
        <v>14</v>
      </c>
      <c r="B18" s="316"/>
      <c r="C18" s="310" t="s">
        <v>723</v>
      </c>
      <c r="D18" s="252" t="str">
        <f>+VLOOKUP(C18,ITEMS!A$4:C$101,2,0)</f>
        <v>Un</v>
      </c>
      <c r="E18" s="418">
        <v>7</v>
      </c>
      <c r="F18" s="307">
        <f>+VLOOKUP(C18,ITEMS!A$4:D$101,3,0)</f>
        <v>130900</v>
      </c>
      <c r="G18" s="628">
        <f t="shared" ref="G18:G26" si="1">+E18*F18</f>
        <v>916300</v>
      </c>
      <c r="H18" s="395" t="s">
        <v>768</v>
      </c>
      <c r="I18" s="324"/>
      <c r="J18" s="324"/>
      <c r="K18" s="324"/>
      <c r="L18" s="324"/>
    </row>
    <row r="19" spans="1:12" ht="16.5">
      <c r="A19" s="316">
        <v>15</v>
      </c>
      <c r="B19" s="316"/>
      <c r="C19" s="310" t="s">
        <v>668</v>
      </c>
      <c r="D19" s="252" t="str">
        <f>+VLOOKUP(C19,ITEMS!A$4:C$101,2,0)</f>
        <v>Un</v>
      </c>
      <c r="E19" s="418">
        <v>7</v>
      </c>
      <c r="F19" s="307">
        <f>+VLOOKUP(C19,ITEMS!A$4:D$101,3,0)</f>
        <v>284256</v>
      </c>
      <c r="G19" s="628">
        <f t="shared" si="1"/>
        <v>1989792</v>
      </c>
      <c r="H19" s="371" t="s">
        <v>755</v>
      </c>
    </row>
    <row r="20" spans="1:12" ht="28.5">
      <c r="A20" s="316">
        <v>16</v>
      </c>
      <c r="B20" s="359"/>
      <c r="C20" s="310" t="s">
        <v>724</v>
      </c>
      <c r="D20" s="252" t="str">
        <f>+VLOOKUP(C20,ITEMS!A$4:C$101,2,0)</f>
        <v>Un</v>
      </c>
      <c r="E20" s="418">
        <v>132</v>
      </c>
      <c r="F20" s="307">
        <f>+VLOOKUP(C20,ITEMS!A$4:D$101,3,0)</f>
        <v>5290</v>
      </c>
      <c r="G20" s="628">
        <f t="shared" si="1"/>
        <v>698280</v>
      </c>
      <c r="H20" s="371" t="s">
        <v>730</v>
      </c>
    </row>
    <row r="21" spans="1:12" ht="16.5">
      <c r="A21" s="316">
        <v>17</v>
      </c>
      <c r="B21" s="316"/>
      <c r="C21" s="310" t="s">
        <v>657</v>
      </c>
      <c r="D21" s="314" t="str">
        <f>+VLOOKUP(C21,ITEMS!A$4:C$101,2,0)</f>
        <v>m</v>
      </c>
      <c r="E21" s="419">
        <f>140+73</f>
        <v>213</v>
      </c>
      <c r="F21" s="315">
        <f>+VLOOKUP(C21,ITEMS!A$4:D$101,3,0)</f>
        <v>7935</v>
      </c>
      <c r="G21" s="629">
        <f t="shared" si="1"/>
        <v>1690155</v>
      </c>
      <c r="H21" s="371" t="s">
        <v>725</v>
      </c>
    </row>
    <row r="22" spans="1:12" ht="28.5">
      <c r="A22" s="316">
        <v>18</v>
      </c>
      <c r="B22" s="316"/>
      <c r="C22" s="317" t="s">
        <v>661</v>
      </c>
      <c r="D22" s="320" t="str">
        <f>+VLOOKUP(C22,ITEMS!A$4:C$101,2,0)</f>
        <v>Un</v>
      </c>
      <c r="E22" s="420">
        <v>1</v>
      </c>
      <c r="F22" s="315">
        <f>+VLOOKUP(C22,ITEMS!A$4:D$101,3,0)</f>
        <v>1368500</v>
      </c>
      <c r="G22" s="629">
        <f t="shared" si="1"/>
        <v>1368500</v>
      </c>
      <c r="H22" s="371"/>
    </row>
    <row r="23" spans="1:12" ht="28.5">
      <c r="A23" s="316">
        <v>19</v>
      </c>
      <c r="B23" s="316" t="s">
        <v>943</v>
      </c>
      <c r="C23" s="317" t="s">
        <v>697</v>
      </c>
      <c r="D23" s="320" t="str">
        <f>+VLOOKUP(C23,ITEMS!A$4:C$101,2,0)</f>
        <v>Un</v>
      </c>
      <c r="E23" s="421">
        <v>1</v>
      </c>
      <c r="F23" s="315">
        <f>+VLOOKUP(C23,ITEMS!A$4:D$101,3,0)</f>
        <v>752387</v>
      </c>
      <c r="G23" s="629">
        <f t="shared" si="1"/>
        <v>752387</v>
      </c>
      <c r="H23" s="371" t="s">
        <v>701</v>
      </c>
    </row>
    <row r="24" spans="1:12" ht="28.5">
      <c r="A24" s="316">
        <v>20</v>
      </c>
      <c r="B24" s="316" t="s">
        <v>944</v>
      </c>
      <c r="C24" s="317" t="s">
        <v>717</v>
      </c>
      <c r="D24" s="320" t="str">
        <f>+VLOOKUP(C24,ITEMS!A$4:C$101,2,0)</f>
        <v>Un</v>
      </c>
      <c r="E24" s="421">
        <v>1</v>
      </c>
      <c r="F24" s="315">
        <f>+VLOOKUP(C24,ITEMS!A$4:D$101,3,0)</f>
        <v>339483</v>
      </c>
      <c r="G24" s="629">
        <f t="shared" si="1"/>
        <v>339483</v>
      </c>
      <c r="H24" s="371" t="s">
        <v>726</v>
      </c>
    </row>
    <row r="25" spans="1:12" ht="16.5">
      <c r="A25" s="316">
        <v>21</v>
      </c>
      <c r="B25" s="316" t="s">
        <v>944</v>
      </c>
      <c r="C25" s="317" t="s">
        <v>716</v>
      </c>
      <c r="D25" s="320" t="str">
        <f>+VLOOKUP(C25,ITEMS!A$4:C$101,2,0)</f>
        <v>Un</v>
      </c>
      <c r="E25" s="421">
        <v>1</v>
      </c>
      <c r="F25" s="315">
        <f>+VLOOKUP(C25,ITEMS!A$4:D$101,3,0)</f>
        <v>1107456</v>
      </c>
      <c r="G25" s="629">
        <f t="shared" si="1"/>
        <v>1107456</v>
      </c>
      <c r="H25" s="371" t="s">
        <v>727</v>
      </c>
    </row>
    <row r="26" spans="1:12" ht="16.5">
      <c r="A26" s="308">
        <v>22</v>
      </c>
      <c r="B26" s="369"/>
      <c r="C26" s="310" t="s">
        <v>663</v>
      </c>
      <c r="D26" s="320" t="str">
        <f>+VLOOKUP(C26,ITEMS!A$4:C$101,2,0)</f>
        <v>Un</v>
      </c>
      <c r="E26" s="420">
        <v>1</v>
      </c>
      <c r="F26" s="315">
        <f>+VLOOKUP(C26,ITEMS!A$4:D$101,3,0)</f>
        <v>721080</v>
      </c>
      <c r="G26" s="629">
        <f t="shared" si="1"/>
        <v>721080</v>
      </c>
      <c r="H26" s="371"/>
    </row>
    <row r="27" spans="1:12" ht="16.5">
      <c r="A27" s="321"/>
      <c r="B27" s="316"/>
      <c r="C27" s="317"/>
      <c r="D27" s="318"/>
      <c r="E27" s="326"/>
      <c r="F27" s="319"/>
      <c r="G27" s="630"/>
      <c r="H27" s="371"/>
    </row>
    <row r="28" spans="1:12" ht="16.5">
      <c r="A28" s="336"/>
      <c r="B28" s="348"/>
      <c r="C28" s="349" t="s">
        <v>719</v>
      </c>
      <c r="D28" s="350"/>
      <c r="E28" s="350"/>
      <c r="F28" s="348"/>
      <c r="G28" s="631">
        <f>SUM(G8:G27)</f>
        <v>222592783</v>
      </c>
      <c r="H28" s="371"/>
    </row>
    <row r="29" spans="1:12" ht="16.5">
      <c r="A29" s="351"/>
      <c r="B29" s="352"/>
      <c r="C29" s="353"/>
      <c r="D29" s="354"/>
      <c r="E29" s="354"/>
      <c r="F29" s="352"/>
      <c r="G29" s="355"/>
    </row>
    <row r="51" spans="1:9" ht="15">
      <c r="C51" s="623"/>
      <c r="D51" s="624"/>
    </row>
    <row r="53" spans="1:9" ht="15">
      <c r="A53" s="696"/>
      <c r="B53" s="696"/>
      <c r="C53" s="697" t="s">
        <v>1184</v>
      </c>
      <c r="D53" s="696"/>
      <c r="E53" s="696"/>
      <c r="F53" s="696"/>
      <c r="G53" s="477"/>
      <c r="H53" s="477"/>
    </row>
    <row r="54" spans="1:9" ht="15">
      <c r="A54" s="696"/>
      <c r="B54" s="696"/>
      <c r="C54" s="697" t="s">
        <v>1185</v>
      </c>
      <c r="D54" s="696"/>
      <c r="E54" s="696"/>
      <c r="F54" s="696"/>
      <c r="G54" s="477"/>
      <c r="H54" s="477"/>
    </row>
    <row r="55" spans="1:9" ht="25.5">
      <c r="A55" s="698" t="s">
        <v>593</v>
      </c>
      <c r="B55" s="693"/>
      <c r="C55" s="698" t="s">
        <v>594</v>
      </c>
      <c r="D55" s="698" t="s">
        <v>630</v>
      </c>
      <c r="E55" s="698" t="s">
        <v>771</v>
      </c>
      <c r="F55" s="346" t="s">
        <v>655</v>
      </c>
      <c r="G55" s="626" t="s">
        <v>610</v>
      </c>
      <c r="H55" s="689" t="s">
        <v>1137</v>
      </c>
    </row>
    <row r="56" spans="1:9" ht="30">
      <c r="A56" s="682">
        <v>1</v>
      </c>
      <c r="B56" s="658"/>
      <c r="C56" s="690" t="s">
        <v>1182</v>
      </c>
      <c r="D56" s="691" t="s">
        <v>969</v>
      </c>
      <c r="E56" s="692">
        <v>342</v>
      </c>
      <c r="F56" s="694">
        <f>+'BT-AP-TEL'!$F$8</f>
        <v>20150</v>
      </c>
      <c r="G56" s="695">
        <f>+E56*F56</f>
        <v>6891300</v>
      </c>
      <c r="H56" s="689"/>
    </row>
    <row r="57" spans="1:9" ht="30">
      <c r="A57" s="682">
        <v>2</v>
      </c>
      <c r="B57" s="658"/>
      <c r="C57" s="690" t="s">
        <v>1180</v>
      </c>
      <c r="D57" s="691" t="s">
        <v>969</v>
      </c>
      <c r="E57" s="692">
        <v>94</v>
      </c>
      <c r="F57" s="694">
        <f>+'BT-AP-TEL'!$F$19</f>
        <v>97451</v>
      </c>
      <c r="G57" s="695">
        <f t="shared" ref="G57:G60" si="2">+E57*F57</f>
        <v>9160394</v>
      </c>
      <c r="H57" s="693"/>
    </row>
    <row r="58" spans="1:9" ht="30">
      <c r="A58" s="682">
        <v>3</v>
      </c>
      <c r="B58" s="658"/>
      <c r="C58" s="690" t="s">
        <v>1181</v>
      </c>
      <c r="D58" s="691" t="s">
        <v>969</v>
      </c>
      <c r="E58" s="692">
        <v>12</v>
      </c>
      <c r="F58" s="694">
        <f>+'BT-AP-TEL'!$F$27</f>
        <v>85167</v>
      </c>
      <c r="G58" s="695">
        <f t="shared" si="2"/>
        <v>1022004</v>
      </c>
      <c r="H58" s="693"/>
    </row>
    <row r="59" spans="1:9" ht="30">
      <c r="A59" s="682">
        <v>4</v>
      </c>
      <c r="B59" s="658"/>
      <c r="C59" s="690" t="s">
        <v>1183</v>
      </c>
      <c r="D59" s="691" t="s">
        <v>8</v>
      </c>
      <c r="E59" s="692">
        <v>9</v>
      </c>
      <c r="F59" s="694">
        <f>+'BT-AP-TEL'!$F$34</f>
        <v>795107</v>
      </c>
      <c r="G59" s="695">
        <f t="shared" si="2"/>
        <v>7155963</v>
      </c>
      <c r="H59" s="693"/>
    </row>
    <row r="60" spans="1:9" ht="60">
      <c r="A60" s="682">
        <v>5</v>
      </c>
      <c r="B60" s="658"/>
      <c r="C60" s="690" t="s">
        <v>1179</v>
      </c>
      <c r="D60" s="691" t="s">
        <v>8</v>
      </c>
      <c r="E60" s="692">
        <v>342</v>
      </c>
      <c r="F60" s="694">
        <f>+'BT-AP-TEL'!$F$46</f>
        <v>26243</v>
      </c>
      <c r="G60" s="695">
        <f t="shared" si="2"/>
        <v>8975106</v>
      </c>
      <c r="H60" s="693"/>
    </row>
    <row r="61" spans="1:9">
      <c r="C61" s="414"/>
      <c r="D61" s="414"/>
      <c r="E61" s="414"/>
      <c r="F61" s="414"/>
      <c r="G61" s="414"/>
      <c r="H61" s="414"/>
      <c r="I61" s="414"/>
    </row>
    <row r="62" spans="1:9">
      <c r="C62" s="414"/>
      <c r="D62" s="414"/>
      <c r="E62" s="414"/>
      <c r="F62" s="414"/>
      <c r="G62" s="414"/>
      <c r="H62" s="414"/>
      <c r="I62" s="414"/>
    </row>
    <row r="63" spans="1:9">
      <c r="C63" s="414"/>
      <c r="D63" s="414"/>
      <c r="E63" s="414"/>
      <c r="F63" s="414"/>
      <c r="G63" s="414"/>
      <c r="H63" s="414"/>
      <c r="I63" s="414"/>
    </row>
    <row r="64" spans="1:9">
      <c r="C64" s="414"/>
      <c r="D64" s="414"/>
      <c r="E64" s="414"/>
      <c r="F64" s="414"/>
      <c r="G64" s="414"/>
      <c r="H64" s="414"/>
      <c r="I64" s="414"/>
    </row>
  </sheetData>
  <mergeCells count="5">
    <mergeCell ref="A4:B4"/>
    <mergeCell ref="C4:G4"/>
    <mergeCell ref="A5:G5"/>
    <mergeCell ref="A1:G2"/>
    <mergeCell ref="A3:G3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PRIMARIA LA 5a</vt:lpstr>
      <vt:lpstr>PRIMARIA LA 5a (2)</vt:lpstr>
      <vt:lpstr>PROVISIONALES LA 5A</vt:lpstr>
      <vt:lpstr>Unitarios provisionales</vt:lpstr>
      <vt:lpstr> ESTACIONES</vt:lpstr>
      <vt:lpstr>RESUMEN TRAMOS</vt:lpstr>
      <vt:lpstr>BT-AP-TEL</vt:lpstr>
      <vt:lpstr>INTERFERENCIAS</vt:lpstr>
      <vt:lpstr>VICT 1</vt:lpstr>
      <vt:lpstr>VICT 2</vt:lpstr>
      <vt:lpstr>VICT 3</vt:lpstr>
      <vt:lpstr>MORALB 1</vt:lpstr>
      <vt:lpstr>ALT 2</vt:lpstr>
      <vt:lpstr>ALT 3</vt:lpstr>
      <vt:lpstr>ALT 4</vt:lpstr>
      <vt:lpstr>ALT 5</vt:lpstr>
      <vt:lpstr>JR 1</vt:lpstr>
      <vt:lpstr>JR 2</vt:lpstr>
      <vt:lpstr>JR 3</vt:lpstr>
      <vt:lpstr>ITEMS</vt:lpstr>
      <vt:lpstr>APUs </vt:lpstr>
      <vt:lpstr>AT 115kV</vt:lpstr>
      <vt:lpstr>MATERIALES</vt:lpstr>
      <vt:lpstr>CUADRILLA</vt:lpstr>
      <vt:lpstr>UNITARIOS ELECTRICOS </vt:lpstr>
      <vt:lpstr>UNITARIOS ELECTRICOS COTIZACION</vt:lpstr>
      <vt:lpstr>UNITARIOS DEF. LA LIBIA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Luis Antonio Espinosa Arellano</cp:lastModifiedBy>
  <cp:lastPrinted>2018-11-09T21:39:04Z</cp:lastPrinted>
  <dcterms:created xsi:type="dcterms:W3CDTF">2017-05-23T22:50:38Z</dcterms:created>
  <dcterms:modified xsi:type="dcterms:W3CDTF">2021-11-24T00:33:02Z</dcterms:modified>
</cp:coreProperties>
</file>