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ymsc-my.sharepoint.com/personal/agarcia_calymayor_com_mx/Documents/Cable San Cristóbal/D.10. Diseño Acueducto Alcantarillado V2/Anexo 5 Geotecnia Redes húmedas/"/>
    </mc:Choice>
  </mc:AlternateContent>
  <xr:revisionPtr revIDLastSave="5" documentId="13_ncr:1_{4E78AAFC-7918-4748-8BD5-655338264964}" xr6:coauthVersionLast="47" xr6:coauthVersionMax="47" xr10:uidLastSave="{4BB18AF9-17BD-4CF1-928E-AE225F3DF2D8}"/>
  <bookViews>
    <workbookView xWindow="15435" yWindow="435" windowWidth="14130" windowHeight="14010" tabRatio="649" firstSheet="3" activeTab="3" xr2:uid="{00000000-000D-0000-FFFF-FFFF00000000}"/>
  </bookViews>
  <sheets>
    <sheet name="C.P. 20J" sheetId="56" r:id="rId1"/>
    <sheet name="Flexible - 20 julio" sheetId="22" r:id="rId2"/>
    <sheet name="C.P. La Victoria" sheetId="54" r:id="rId3"/>
    <sheet name="Flexible - La Vict" sheetId="41" r:id="rId4"/>
    <sheet name="C.P. Altamira" sheetId="55" r:id="rId5"/>
    <sheet name="Flexible - Altamira" sheetId="42" r:id="rId6"/>
    <sheet name="Flexible - D P15" sheetId="44" r:id="rId7"/>
    <sheet name="Flexible - D P20" sheetId="45" r:id="rId8"/>
    <sheet name="Flexible - D P3" sheetId="46" r:id="rId9"/>
    <sheet name="Flexible - D P4" sheetId="47" r:id="rId10"/>
    <sheet name="Flexible - D P5" sheetId="48" r:id="rId11"/>
    <sheet name="Flexible - D P6" sheetId="49" r:id="rId12"/>
    <sheet name="Flexible - D P8" sheetId="50" r:id="rId13"/>
    <sheet name="Flexible - D P14" sheetId="51" r:id="rId14"/>
    <sheet name="Flexible - D P19" sheetId="52" r:id="rId15"/>
    <sheet name="Flexible - D P21" sheetId="53" r:id="rId16"/>
    <sheet name="Bd" sheetId="37" state="hidden" r:id="rId17"/>
    <sheet name="Especificaciones" sheetId="18" state="hidden" r:id="rId18"/>
  </sheets>
  <externalReferences>
    <externalReference r:id="rId19"/>
    <externalReference r:id="rId20"/>
  </externalReferences>
  <definedNames>
    <definedName name="_xlnm._FilterDatabase" localSheetId="16" hidden="1">Bd!$B$11:$K$58</definedName>
    <definedName name="_xlnm._FilterDatabase" localSheetId="17" hidden="1">Especificaciones!$F$3:$H$4</definedName>
    <definedName name="_xlnm._FilterDatabase" localSheetId="1" hidden="1">'Flexible - 20 julio'!$B$283:$L$297</definedName>
    <definedName name="_xlnm._FilterDatabase" localSheetId="5" hidden="1">'Flexible - Altamira'!$B$457:$L$496</definedName>
    <definedName name="_xlnm._FilterDatabase" localSheetId="13" hidden="1">'Flexible - D P14'!$A$40:$L$42</definedName>
    <definedName name="_xlnm._FilterDatabase" localSheetId="6" hidden="1">'Flexible - D P15'!$A$40:$L$43</definedName>
    <definedName name="_xlnm._FilterDatabase" localSheetId="14" hidden="1">'Flexible - D P19'!$A$40:$L$40</definedName>
    <definedName name="_xlnm._FilterDatabase" localSheetId="7" hidden="1">'Flexible - D P20'!$A$40:$L$42</definedName>
    <definedName name="_xlnm._FilterDatabase" localSheetId="15" hidden="1">'Flexible - D P21'!$A$40:$L$40</definedName>
    <definedName name="_xlnm._FilterDatabase" localSheetId="8" hidden="1">'Flexible - D P3'!$A$40:$L$41</definedName>
    <definedName name="_xlnm._FilterDatabase" localSheetId="9" hidden="1">'Flexible - D P4'!$A$40:$L$41</definedName>
    <definedName name="_xlnm._FilterDatabase" localSheetId="10" hidden="1">'Flexible - D P5'!$A$40:$L$42</definedName>
    <definedName name="_xlnm._FilterDatabase" localSheetId="11" hidden="1">'Flexible - D P6'!$A$40:$L$42</definedName>
    <definedName name="_xlnm._FilterDatabase" localSheetId="12" hidden="1">'Flexible - D P8'!$A$40:$L$44</definedName>
    <definedName name="_xlnm._FilterDatabase" localSheetId="3" hidden="1">'Flexible - La Vict'!$B$471:$K$512</definedName>
    <definedName name="Alt" localSheetId="0">'C.P. 20J'!$F$46</definedName>
    <definedName name="Alt" localSheetId="4">'C.P. Altamira'!$F$37</definedName>
    <definedName name="Alt" localSheetId="2">'C.P. La Victoria'!$F$37</definedName>
    <definedName name="Alt">#REF!</definedName>
    <definedName name="_xlnm.Print_Area" localSheetId="0">'C.P. 20J'!$A$1:$G$66</definedName>
    <definedName name="_xlnm.Print_Area" localSheetId="4">'C.P. Altamira'!$A$1:$G$57</definedName>
    <definedName name="_xlnm.Print_Area" localSheetId="2">'C.P. La Victoria'!$A$1:$G$57</definedName>
    <definedName name="_xlnm.Print_Area" localSheetId="1">'Flexible - 20 julio'!$A$1:$M$297</definedName>
    <definedName name="_xlnm.Print_Area" localSheetId="5">'Flexible - Altamira'!$A$1:$M$496</definedName>
    <definedName name="_xlnm.Print_Area" localSheetId="13">'Flexible - D P14'!$A$1:$M$206</definedName>
    <definedName name="_xlnm.Print_Area" localSheetId="6">'Flexible - D P15'!$A$1:$M$223</definedName>
    <definedName name="_xlnm.Print_Area" localSheetId="14">'Flexible - D P19'!$A$1:$M$206</definedName>
    <definedName name="_xlnm.Print_Area" localSheetId="7">'Flexible - D P20'!$A$1:$M$222</definedName>
    <definedName name="_xlnm.Print_Area" localSheetId="15">'Flexible - D P21'!$A$1:$M$206</definedName>
    <definedName name="_xlnm.Print_Area" localSheetId="8">'Flexible - D P3'!$A$1:$M$198</definedName>
    <definedName name="_xlnm.Print_Area" localSheetId="9">'Flexible - D P4'!$A$1:$M$198</definedName>
    <definedName name="_xlnm.Print_Area" localSheetId="10">'Flexible - D P5'!$A$1:$M$206</definedName>
    <definedName name="_xlnm.Print_Area" localSheetId="11">'Flexible - D P6'!$A$1:$M$206</definedName>
    <definedName name="_xlnm.Print_Area" localSheetId="12">'Flexible - D P8'!$A$1:$M$222</definedName>
    <definedName name="_xlnm.Print_Area" localSheetId="3">'Flexible - La Vict'!$A$1:$M$512</definedName>
    <definedName name="AUS">#REF!</definedName>
    <definedName name="Bd" localSheetId="0">'C.P. 20J'!$F$48</definedName>
    <definedName name="Bd" localSheetId="4">'C.P. Altamira'!$F$39</definedName>
    <definedName name="Bd" localSheetId="2">'C.P. La Victoria'!$F$39</definedName>
    <definedName name="Bd">#REF!</definedName>
    <definedName name="C.Portante3codales">'[1]Lluvias Flexibles'!$M$3</definedName>
    <definedName name="CODAL" localSheetId="0">'C.P. 20J'!#REF!</definedName>
    <definedName name="CODAL" localSheetId="4">'C.P. Altamira'!#REF!</definedName>
    <definedName name="CODAL" localSheetId="2">'C.P. La Victoria'!#REF!</definedName>
    <definedName name="CODAL">#REF!</definedName>
    <definedName name="CU" localSheetId="0">'C.P. 20J'!#REF!</definedName>
    <definedName name="CU" localSheetId="4">'C.P. Altamira'!$C$16</definedName>
    <definedName name="CU" localSheetId="2">'C.P. La Victoria'!$C$16</definedName>
    <definedName name="CU">#REF!</definedName>
    <definedName name="gama_s" localSheetId="0">'C.P. 20J'!#REF!</definedName>
    <definedName name="gama_s" localSheetId="4">'C.P. Altamira'!#REF!</definedName>
    <definedName name="gama_s" localSheetId="2">'C.P. La Victoria'!#REF!</definedName>
    <definedName name="gama_s">#REF!</definedName>
    <definedName name="Ka_g_H" localSheetId="0">'C.P. 20J'!#REF!</definedName>
    <definedName name="Ka_g_H" localSheetId="4">'C.P. Altamira'!#REF!</definedName>
    <definedName name="Ka_g_H" localSheetId="2">'C.P. La Victoria'!#REF!</definedName>
    <definedName name="Ka_g_H">#REF!</definedName>
    <definedName name="L_AR">'[2]NEGRAS RÍGIDAS'!$C$29:$C$33</definedName>
    <definedName name="PROY">#REF!</definedName>
    <definedName name="_xlnm.Print_Titles" localSheetId="0">'C.P. 20J'!$1:$4</definedName>
    <definedName name="_xlnm.Print_Titles" localSheetId="4">'C.P. Altamira'!$1:$4</definedName>
    <definedName name="_xlnm.Print_Titles" localSheetId="2">'C.P. La Victoria'!$1:$4</definedName>
    <definedName name="_xlnm.Print_Titles" localSheetId="1">'Flexible - 20 julio'!$1:$5</definedName>
    <definedName name="_xlnm.Print_Titles" localSheetId="5">'Flexible - Altamira'!$1:$5</definedName>
    <definedName name="_xlnm.Print_Titles" localSheetId="13">'Flexible - D P14'!$1:$4</definedName>
    <definedName name="_xlnm.Print_Titles" localSheetId="6">'Flexible - D P15'!$1:$4</definedName>
    <definedName name="_xlnm.Print_Titles" localSheetId="14">'Flexible - D P19'!$1:$4</definedName>
    <definedName name="_xlnm.Print_Titles" localSheetId="7">'Flexible - D P20'!$1:$4</definedName>
    <definedName name="_xlnm.Print_Titles" localSheetId="15">'Flexible - D P21'!$1:$4</definedName>
    <definedName name="_xlnm.Print_Titles" localSheetId="8">'Flexible - D P3'!$1:$4</definedName>
    <definedName name="_xlnm.Print_Titles" localSheetId="9">'Flexible - D P4'!$1:$4</definedName>
    <definedName name="_xlnm.Print_Titles" localSheetId="10">'Flexible - D P5'!$1:$4</definedName>
    <definedName name="_xlnm.Print_Titles" localSheetId="11">'Flexible - D P6'!$1:$4</definedName>
    <definedName name="_xlnm.Print_Titles" localSheetId="12">'Flexible - D P8'!$1:$4</definedName>
    <definedName name="_xlnm.Print_Titles" localSheetId="3">'Flexible - La Vict'!$1:$5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81" i="41" l="1"/>
  <c r="R64" i="41" l="1"/>
  <c r="F47" i="56"/>
  <c r="D63" i="56" s="1"/>
  <c r="C27" i="56" l="1"/>
  <c r="H17" i="56"/>
  <c r="C22" i="56" s="1"/>
  <c r="C26" i="56"/>
  <c r="C53" i="56"/>
  <c r="F46" i="56"/>
  <c r="C57" i="56" s="1"/>
  <c r="C16" i="56"/>
  <c r="C34" i="56" l="1"/>
  <c r="E34" i="56" s="1"/>
  <c r="E57" i="56"/>
  <c r="B53" i="56"/>
  <c r="C18" i="55" l="1"/>
  <c r="C44" i="55"/>
  <c r="F38" i="55"/>
  <c r="D54" i="55" s="1"/>
  <c r="F37" i="55"/>
  <c r="C48" i="55" s="1"/>
  <c r="E48" i="55" s="1"/>
  <c r="C25" i="55"/>
  <c r="E25" i="55" s="1"/>
  <c r="N273" i="41"/>
  <c r="F37" i="54"/>
  <c r="C48" i="54" s="1"/>
  <c r="F38" i="54"/>
  <c r="C18" i="54"/>
  <c r="C25" i="54" s="1"/>
  <c r="E25" i="54" s="1"/>
  <c r="C44" i="54"/>
  <c r="B44" i="55" l="1"/>
  <c r="B44" i="54"/>
  <c r="E48" i="54"/>
  <c r="D54" i="54"/>
  <c r="Z221" i="42" l="1"/>
  <c r="W221" i="42"/>
  <c r="S221" i="42"/>
  <c r="P221" i="42"/>
  <c r="W220" i="42"/>
  <c r="P220" i="42"/>
  <c r="Z219" i="42"/>
  <c r="W219" i="42"/>
  <c r="S219" i="42"/>
  <c r="P219" i="42"/>
  <c r="AH228" i="41"/>
  <c r="AE228" i="41"/>
  <c r="AA228" i="41"/>
  <c r="X228" i="41"/>
  <c r="T228" i="41"/>
  <c r="Q228" i="41"/>
  <c r="AE227" i="41"/>
  <c r="X227" i="41"/>
  <c r="Q227" i="41"/>
  <c r="AH226" i="41"/>
  <c r="AE226" i="41"/>
  <c r="AA226" i="41"/>
  <c r="X226" i="41"/>
  <c r="T226" i="41"/>
  <c r="Q226" i="41"/>
  <c r="AG148" i="22"/>
  <c r="AD148" i="22"/>
  <c r="AD147" i="22"/>
  <c r="AG146" i="22"/>
  <c r="AD146" i="22"/>
  <c r="Z148" i="22"/>
  <c r="W148" i="22"/>
  <c r="W147" i="22"/>
  <c r="Z146" i="22"/>
  <c r="W146" i="22"/>
  <c r="P148" i="22"/>
  <c r="P147" i="22"/>
  <c r="P146" i="22"/>
  <c r="S148" i="22"/>
  <c r="S146" i="22"/>
  <c r="U117" i="44"/>
  <c r="U115" i="44"/>
  <c r="AD117" i="45"/>
  <c r="AD115" i="45"/>
  <c r="N108" i="45"/>
  <c r="U117" i="45"/>
  <c r="U115" i="45"/>
  <c r="N109" i="45"/>
  <c r="N110" i="45"/>
  <c r="N111" i="45"/>
  <c r="U111" i="53"/>
  <c r="Q111" i="53"/>
  <c r="Q110" i="53"/>
  <c r="U109" i="53"/>
  <c r="Q109" i="53"/>
  <c r="U111" i="52"/>
  <c r="Q111" i="52"/>
  <c r="Q110" i="52"/>
  <c r="U109" i="52"/>
  <c r="Q109" i="52"/>
  <c r="U111" i="51"/>
  <c r="Q110" i="51"/>
  <c r="U109" i="51"/>
  <c r="U117" i="50"/>
  <c r="Q117" i="50"/>
  <c r="Q116" i="50"/>
  <c r="U115" i="50"/>
  <c r="Q115" i="50"/>
  <c r="U112" i="49"/>
  <c r="Q111" i="49"/>
  <c r="U110" i="49"/>
  <c r="Q111" i="48"/>
  <c r="Q110" i="48"/>
  <c r="Q109" i="48"/>
  <c r="U111" i="48"/>
  <c r="U109" i="48"/>
  <c r="J102" i="47"/>
  <c r="V109" i="47"/>
  <c r="V107" i="47"/>
  <c r="N102" i="46"/>
  <c r="N111" i="44"/>
  <c r="F41" i="52"/>
  <c r="J41" i="52" s="1"/>
  <c r="F42" i="52"/>
  <c r="J42" i="52" s="1"/>
  <c r="B65" i="52"/>
  <c r="B104" i="52" s="1"/>
  <c r="B136" i="52" s="1"/>
  <c r="C147" i="52" s="1"/>
  <c r="D165" i="52" s="1"/>
  <c r="C65" i="52"/>
  <c r="C104" i="52" s="1"/>
  <c r="C136" i="52" s="1"/>
  <c r="D147" i="52" s="1"/>
  <c r="E165" i="52" s="1"/>
  <c r="D65" i="52"/>
  <c r="D104" i="52" s="1"/>
  <c r="D136" i="52" s="1"/>
  <c r="E147" i="52" s="1"/>
  <c r="E65" i="52"/>
  <c r="G65" i="52"/>
  <c r="N65" i="52" s="1"/>
  <c r="H65" i="52"/>
  <c r="F104" i="52" s="1"/>
  <c r="B66" i="52"/>
  <c r="B105" i="52" s="1"/>
  <c r="B137" i="52" s="1"/>
  <c r="C148" i="52" s="1"/>
  <c r="D166" i="52" s="1"/>
  <c r="C66" i="52"/>
  <c r="E175" i="52" s="1"/>
  <c r="C206" i="52" s="1"/>
  <c r="D66" i="52"/>
  <c r="D105" i="52" s="1"/>
  <c r="D137" i="52" s="1"/>
  <c r="E148" i="52" s="1"/>
  <c r="E66" i="52"/>
  <c r="G66" i="52"/>
  <c r="J66" i="52" s="1"/>
  <c r="H66" i="52"/>
  <c r="F105" i="52" s="1"/>
  <c r="G137" i="52" s="1"/>
  <c r="E206" i="52" s="1"/>
  <c r="N104" i="52"/>
  <c r="N105" i="52"/>
  <c r="F165" i="52"/>
  <c r="F166" i="52"/>
  <c r="F178" i="44"/>
  <c r="B70" i="44"/>
  <c r="B111" i="44" s="1"/>
  <c r="B145" i="44" s="1"/>
  <c r="C158" i="44" s="1"/>
  <c r="D178" i="44" s="1"/>
  <c r="C70" i="44"/>
  <c r="C111" i="44" s="1"/>
  <c r="C145" i="44" s="1"/>
  <c r="D158" i="44" s="1"/>
  <c r="D70" i="44"/>
  <c r="D111" i="44" s="1"/>
  <c r="D145" i="44" s="1"/>
  <c r="E158" i="44" s="1"/>
  <c r="E70" i="44"/>
  <c r="G70" i="44"/>
  <c r="I70" i="44" s="1"/>
  <c r="H70" i="44"/>
  <c r="F111" i="44" s="1"/>
  <c r="G145" i="44" s="1"/>
  <c r="E223" i="44" s="1"/>
  <c r="F166" i="53"/>
  <c r="F165" i="53"/>
  <c r="F164" i="53"/>
  <c r="E164" i="53"/>
  <c r="D164" i="53"/>
  <c r="D146" i="53"/>
  <c r="C146" i="53"/>
  <c r="C134" i="53"/>
  <c r="B134" i="53"/>
  <c r="G130" i="53"/>
  <c r="N105" i="53"/>
  <c r="N104" i="53"/>
  <c r="F103" i="53"/>
  <c r="C103" i="53"/>
  <c r="B103" i="53"/>
  <c r="D99" i="53"/>
  <c r="D100" i="53" s="1"/>
  <c r="F131" i="53" s="1"/>
  <c r="D97" i="53"/>
  <c r="D98" i="53" s="1"/>
  <c r="F130" i="53" s="1"/>
  <c r="H66" i="53"/>
  <c r="F105" i="53" s="1"/>
  <c r="G66" i="53"/>
  <c r="J66" i="53" s="1"/>
  <c r="E66" i="53"/>
  <c r="D66" i="53"/>
  <c r="D105" i="53" s="1"/>
  <c r="D137" i="53" s="1"/>
  <c r="E148" i="53" s="1"/>
  <c r="C66" i="53"/>
  <c r="B66" i="53"/>
  <c r="D175" i="53" s="1"/>
  <c r="B206" i="53" s="1"/>
  <c r="H65" i="53"/>
  <c r="F104" i="53" s="1"/>
  <c r="G65" i="53"/>
  <c r="J65" i="53" s="1"/>
  <c r="E65" i="53"/>
  <c r="D65" i="53"/>
  <c r="D104" i="53" s="1"/>
  <c r="D136" i="53" s="1"/>
  <c r="E147" i="53" s="1"/>
  <c r="C65" i="53"/>
  <c r="B65" i="53"/>
  <c r="C64" i="53"/>
  <c r="B64" i="53"/>
  <c r="F42" i="53"/>
  <c r="F66" i="53" s="1"/>
  <c r="E105" i="53" s="1"/>
  <c r="E137" i="53" s="1"/>
  <c r="F148" i="53" s="1"/>
  <c r="G166" i="53" s="1"/>
  <c r="D206" i="53" s="1"/>
  <c r="F41" i="53"/>
  <c r="F65" i="53" s="1"/>
  <c r="E104" i="53" s="1"/>
  <c r="E136" i="53" s="1"/>
  <c r="F147" i="53" s="1"/>
  <c r="G165" i="53" s="1"/>
  <c r="D205" i="53" s="1"/>
  <c r="G36" i="53"/>
  <c r="D37" i="53" s="1"/>
  <c r="F164" i="52"/>
  <c r="E164" i="52"/>
  <c r="D164" i="52"/>
  <c r="D146" i="52"/>
  <c r="C146" i="52"/>
  <c r="C134" i="52"/>
  <c r="B134" i="52"/>
  <c r="G130" i="52"/>
  <c r="F103" i="52"/>
  <c r="C103" i="52"/>
  <c r="B103" i="52"/>
  <c r="D99" i="52"/>
  <c r="D100" i="52" s="1"/>
  <c r="F131" i="52" s="1"/>
  <c r="D97" i="52"/>
  <c r="D98" i="52" s="1"/>
  <c r="F130" i="52" s="1"/>
  <c r="C64" i="52"/>
  <c r="B64" i="52"/>
  <c r="G36" i="52"/>
  <c r="D38" i="52" s="1"/>
  <c r="F166" i="51"/>
  <c r="F165" i="51"/>
  <c r="F164" i="51"/>
  <c r="E164" i="51"/>
  <c r="D164" i="51"/>
  <c r="D146" i="51"/>
  <c r="C146" i="51"/>
  <c r="C134" i="51"/>
  <c r="B134" i="51"/>
  <c r="G130" i="51"/>
  <c r="N105" i="51"/>
  <c r="N104" i="51"/>
  <c r="F103" i="51"/>
  <c r="C103" i="51"/>
  <c r="B103" i="51"/>
  <c r="D99" i="51"/>
  <c r="D100" i="51" s="1"/>
  <c r="F131" i="51" s="1"/>
  <c r="D97" i="51"/>
  <c r="D98" i="51" s="1"/>
  <c r="F130" i="51" s="1"/>
  <c r="H66" i="51"/>
  <c r="F105" i="51" s="1"/>
  <c r="G66" i="51"/>
  <c r="J66" i="51" s="1"/>
  <c r="E66" i="51"/>
  <c r="D66" i="51"/>
  <c r="D105" i="51" s="1"/>
  <c r="D137" i="51" s="1"/>
  <c r="E148" i="51" s="1"/>
  <c r="C66" i="51"/>
  <c r="B66" i="51"/>
  <c r="H65" i="51"/>
  <c r="F104" i="51" s="1"/>
  <c r="G65" i="51"/>
  <c r="I65" i="51" s="1"/>
  <c r="E65" i="51"/>
  <c r="D65" i="51"/>
  <c r="D104" i="51" s="1"/>
  <c r="D136" i="51" s="1"/>
  <c r="E147" i="51" s="1"/>
  <c r="C65" i="51"/>
  <c r="B65" i="51"/>
  <c r="C64" i="51"/>
  <c r="B64" i="51"/>
  <c r="F42" i="51"/>
  <c r="F66" i="51" s="1"/>
  <c r="E105" i="51" s="1"/>
  <c r="E137" i="51" s="1"/>
  <c r="F148" i="51" s="1"/>
  <c r="G166" i="51" s="1"/>
  <c r="D206" i="51" s="1"/>
  <c r="F41" i="51"/>
  <c r="F65" i="51" s="1"/>
  <c r="E104" i="51" s="1"/>
  <c r="E136" i="51" s="1"/>
  <c r="F147" i="51" s="1"/>
  <c r="G165" i="51" s="1"/>
  <c r="D205" i="51" s="1"/>
  <c r="G36" i="51"/>
  <c r="D38" i="51" s="1"/>
  <c r="F178" i="50"/>
  <c r="F177" i="50"/>
  <c r="F176" i="50"/>
  <c r="F175" i="50"/>
  <c r="F174" i="50"/>
  <c r="E174" i="50"/>
  <c r="D174" i="50"/>
  <c r="D154" i="50"/>
  <c r="C154" i="50"/>
  <c r="C140" i="50"/>
  <c r="B140" i="50"/>
  <c r="G136" i="50"/>
  <c r="N111" i="50"/>
  <c r="N110" i="50"/>
  <c r="N109" i="50"/>
  <c r="N108" i="50"/>
  <c r="F107" i="50"/>
  <c r="C107" i="50"/>
  <c r="B107" i="50"/>
  <c r="D103" i="50"/>
  <c r="D104" i="50" s="1"/>
  <c r="F137" i="50" s="1"/>
  <c r="D101" i="50"/>
  <c r="D102" i="50" s="1"/>
  <c r="F136" i="50" s="1"/>
  <c r="H70" i="50"/>
  <c r="F111" i="50" s="1"/>
  <c r="G70" i="50"/>
  <c r="J70" i="50" s="1"/>
  <c r="E70" i="50"/>
  <c r="D70" i="50"/>
  <c r="D111" i="50" s="1"/>
  <c r="D145" i="50" s="1"/>
  <c r="E158" i="50" s="1"/>
  <c r="C70" i="50"/>
  <c r="B70" i="50"/>
  <c r="H69" i="50"/>
  <c r="F110" i="50" s="1"/>
  <c r="G69" i="50"/>
  <c r="J69" i="50" s="1"/>
  <c r="E69" i="50"/>
  <c r="D69" i="50"/>
  <c r="D110" i="50" s="1"/>
  <c r="D144" i="50" s="1"/>
  <c r="E157" i="50" s="1"/>
  <c r="C69" i="50"/>
  <c r="B69" i="50"/>
  <c r="H68" i="50"/>
  <c r="F109" i="50" s="1"/>
  <c r="G68" i="50"/>
  <c r="J68" i="50" s="1"/>
  <c r="E68" i="50"/>
  <c r="D68" i="50"/>
  <c r="D109" i="50" s="1"/>
  <c r="D143" i="50" s="1"/>
  <c r="E156" i="50" s="1"/>
  <c r="C68" i="50"/>
  <c r="B68" i="50"/>
  <c r="H67" i="50"/>
  <c r="F108" i="50" s="1"/>
  <c r="G67" i="50"/>
  <c r="J67" i="50" s="1"/>
  <c r="E67" i="50"/>
  <c r="D67" i="50"/>
  <c r="D108" i="50" s="1"/>
  <c r="D142" i="50" s="1"/>
  <c r="E155" i="50" s="1"/>
  <c r="C67" i="50"/>
  <c r="B67" i="50"/>
  <c r="C66" i="50"/>
  <c r="B66" i="50"/>
  <c r="F44" i="50"/>
  <c r="F70" i="50" s="1"/>
  <c r="E111" i="50" s="1"/>
  <c r="E145" i="50" s="1"/>
  <c r="F158" i="50" s="1"/>
  <c r="G178" i="50" s="1"/>
  <c r="D222" i="50" s="1"/>
  <c r="F43" i="50"/>
  <c r="F69" i="50" s="1"/>
  <c r="E110" i="50" s="1"/>
  <c r="E144" i="50" s="1"/>
  <c r="F157" i="50" s="1"/>
  <c r="G177" i="50" s="1"/>
  <c r="D221" i="50" s="1"/>
  <c r="F42" i="50"/>
  <c r="F68" i="50" s="1"/>
  <c r="E109" i="50" s="1"/>
  <c r="E143" i="50" s="1"/>
  <c r="F156" i="50" s="1"/>
  <c r="G176" i="50" s="1"/>
  <c r="D220" i="50" s="1"/>
  <c r="F41" i="50"/>
  <c r="P41" i="50" s="1"/>
  <c r="G36" i="50"/>
  <c r="D37" i="50" s="1"/>
  <c r="F166" i="49"/>
  <c r="F165" i="49"/>
  <c r="F164" i="49"/>
  <c r="E164" i="49"/>
  <c r="D164" i="49"/>
  <c r="D146" i="49"/>
  <c r="C146" i="49"/>
  <c r="C134" i="49"/>
  <c r="B134" i="49"/>
  <c r="G130" i="49"/>
  <c r="F103" i="49"/>
  <c r="C103" i="49"/>
  <c r="B103" i="49"/>
  <c r="D99" i="49"/>
  <c r="D100" i="49" s="1"/>
  <c r="F131" i="49" s="1"/>
  <c r="D97" i="49"/>
  <c r="D98" i="49" s="1"/>
  <c r="F130" i="49" s="1"/>
  <c r="H66" i="49"/>
  <c r="F105" i="49" s="1"/>
  <c r="G66" i="49"/>
  <c r="I66" i="49" s="1"/>
  <c r="E66" i="49"/>
  <c r="D66" i="49"/>
  <c r="D105" i="49" s="1"/>
  <c r="D137" i="49" s="1"/>
  <c r="E148" i="49" s="1"/>
  <c r="C66" i="49"/>
  <c r="B66" i="49"/>
  <c r="H65" i="49"/>
  <c r="F104" i="49" s="1"/>
  <c r="G65" i="49"/>
  <c r="J65" i="49" s="1"/>
  <c r="E65" i="49"/>
  <c r="D65" i="49"/>
  <c r="D104" i="49" s="1"/>
  <c r="D136" i="49" s="1"/>
  <c r="E147" i="49" s="1"/>
  <c r="C65" i="49"/>
  <c r="B65" i="49"/>
  <c r="C64" i="49"/>
  <c r="B64" i="49"/>
  <c r="F42" i="49"/>
  <c r="F66" i="49" s="1"/>
  <c r="E105" i="49" s="1"/>
  <c r="E137" i="49" s="1"/>
  <c r="F148" i="49" s="1"/>
  <c r="G166" i="49" s="1"/>
  <c r="D206" i="49" s="1"/>
  <c r="F41" i="49"/>
  <c r="F65" i="49" s="1"/>
  <c r="E104" i="49" s="1"/>
  <c r="E136" i="49" s="1"/>
  <c r="F147" i="49" s="1"/>
  <c r="G165" i="49" s="1"/>
  <c r="D205" i="49" s="1"/>
  <c r="G36" i="49"/>
  <c r="D37" i="49" s="1"/>
  <c r="F166" i="48"/>
  <c r="F165" i="48"/>
  <c r="F164" i="48"/>
  <c r="E164" i="48"/>
  <c r="D164" i="48"/>
  <c r="D146" i="48"/>
  <c r="C146" i="48"/>
  <c r="C134" i="48"/>
  <c r="B134" i="48"/>
  <c r="G130" i="48"/>
  <c r="N105" i="48"/>
  <c r="N104" i="48"/>
  <c r="F103" i="48"/>
  <c r="C103" i="48"/>
  <c r="B103" i="48"/>
  <c r="D99" i="48"/>
  <c r="D100" i="48" s="1"/>
  <c r="F131" i="48" s="1"/>
  <c r="D97" i="48"/>
  <c r="D98" i="48" s="1"/>
  <c r="F130" i="48" s="1"/>
  <c r="H66" i="48"/>
  <c r="F105" i="48" s="1"/>
  <c r="G66" i="48"/>
  <c r="I66" i="48" s="1"/>
  <c r="E66" i="48"/>
  <c r="D66" i="48"/>
  <c r="D105" i="48" s="1"/>
  <c r="D137" i="48" s="1"/>
  <c r="E148" i="48" s="1"/>
  <c r="C66" i="48"/>
  <c r="B66" i="48"/>
  <c r="H65" i="48"/>
  <c r="F104" i="48" s="1"/>
  <c r="G65" i="48"/>
  <c r="E65" i="48"/>
  <c r="D65" i="48"/>
  <c r="D104" i="48" s="1"/>
  <c r="D136" i="48" s="1"/>
  <c r="E147" i="48" s="1"/>
  <c r="C65" i="48"/>
  <c r="E174" i="48" s="1"/>
  <c r="C205" i="48" s="1"/>
  <c r="B65" i="48"/>
  <c r="D174" i="48" s="1"/>
  <c r="B205" i="48" s="1"/>
  <c r="C64" i="48"/>
  <c r="B64" i="48"/>
  <c r="F42" i="48"/>
  <c r="F66" i="48" s="1"/>
  <c r="E105" i="48" s="1"/>
  <c r="E137" i="48" s="1"/>
  <c r="F148" i="48" s="1"/>
  <c r="G166" i="48" s="1"/>
  <c r="D206" i="48" s="1"/>
  <c r="F41" i="48"/>
  <c r="F65" i="48" s="1"/>
  <c r="E104" i="48" s="1"/>
  <c r="E136" i="48" s="1"/>
  <c r="F147" i="48" s="1"/>
  <c r="G165" i="48" s="1"/>
  <c r="D205" i="48" s="1"/>
  <c r="G36" i="48"/>
  <c r="D37" i="48" s="1"/>
  <c r="F160" i="47"/>
  <c r="F159" i="47"/>
  <c r="E159" i="47"/>
  <c r="D159" i="47"/>
  <c r="D142" i="47"/>
  <c r="C142" i="47"/>
  <c r="C131" i="47"/>
  <c r="B131" i="47"/>
  <c r="G127" i="47"/>
  <c r="N102" i="47"/>
  <c r="F101" i="47"/>
  <c r="C101" i="47"/>
  <c r="B101" i="47"/>
  <c r="D97" i="47"/>
  <c r="D98" i="47" s="1"/>
  <c r="F128" i="47" s="1"/>
  <c r="D95" i="47"/>
  <c r="D96" i="47" s="1"/>
  <c r="F127" i="47" s="1"/>
  <c r="H64" i="47"/>
  <c r="F102" i="47" s="1"/>
  <c r="G64" i="47"/>
  <c r="F133" i="47" s="1"/>
  <c r="K133" i="47" s="1"/>
  <c r="E64" i="47"/>
  <c r="D64" i="47"/>
  <c r="D102" i="47" s="1"/>
  <c r="D133" i="47" s="1"/>
  <c r="E143" i="47" s="1"/>
  <c r="C64" i="47"/>
  <c r="E168" i="47" s="1"/>
  <c r="C198" i="47" s="1"/>
  <c r="B64" i="47"/>
  <c r="D168" i="47" s="1"/>
  <c r="B198" i="47" s="1"/>
  <c r="C63" i="47"/>
  <c r="B63" i="47"/>
  <c r="F41" i="47"/>
  <c r="F64" i="47" s="1"/>
  <c r="E102" i="47" s="1"/>
  <c r="E133" i="47" s="1"/>
  <c r="F143" i="47" s="1"/>
  <c r="G36" i="47"/>
  <c r="D38" i="47" s="1"/>
  <c r="F160" i="46"/>
  <c r="F159" i="46"/>
  <c r="E159" i="46"/>
  <c r="D159" i="46"/>
  <c r="D142" i="46"/>
  <c r="C142" i="46"/>
  <c r="C131" i="46"/>
  <c r="B131" i="46"/>
  <c r="G127" i="46"/>
  <c r="F101" i="46"/>
  <c r="C101" i="46"/>
  <c r="B101" i="46"/>
  <c r="D97" i="46"/>
  <c r="D98" i="46" s="1"/>
  <c r="F128" i="46" s="1"/>
  <c r="D95" i="46"/>
  <c r="D96" i="46" s="1"/>
  <c r="F127" i="46" s="1"/>
  <c r="H64" i="46"/>
  <c r="F102" i="46" s="1"/>
  <c r="G64" i="46"/>
  <c r="J64" i="46" s="1"/>
  <c r="E64" i="46"/>
  <c r="D64" i="46"/>
  <c r="D102" i="46" s="1"/>
  <c r="D133" i="46" s="1"/>
  <c r="E143" i="46" s="1"/>
  <c r="C64" i="46"/>
  <c r="B64" i="46"/>
  <c r="D168" i="46" s="1"/>
  <c r="B198" i="46" s="1"/>
  <c r="C63" i="46"/>
  <c r="B63" i="46"/>
  <c r="F41" i="46"/>
  <c r="F64" i="46" s="1"/>
  <c r="E102" i="46" s="1"/>
  <c r="E133" i="46" s="1"/>
  <c r="F143" i="46" s="1"/>
  <c r="G36" i="46"/>
  <c r="D37" i="46" s="1"/>
  <c r="I205" i="48" l="1"/>
  <c r="J205" i="48"/>
  <c r="G160" i="46"/>
  <c r="D198" i="46"/>
  <c r="J206" i="48"/>
  <c r="I206" i="48"/>
  <c r="J206" i="53"/>
  <c r="I206" i="53"/>
  <c r="I205" i="53"/>
  <c r="J205" i="53"/>
  <c r="J205" i="51"/>
  <c r="I205" i="51"/>
  <c r="J206" i="51"/>
  <c r="I206" i="51"/>
  <c r="J222" i="50"/>
  <c r="I222" i="50"/>
  <c r="J220" i="50"/>
  <c r="I220" i="50"/>
  <c r="I221" i="50"/>
  <c r="J221" i="50"/>
  <c r="J205" i="49"/>
  <c r="I205" i="49"/>
  <c r="J206" i="49"/>
  <c r="I206" i="49"/>
  <c r="G160" i="47"/>
  <c r="D198" i="47"/>
  <c r="E178" i="44"/>
  <c r="O102" i="46"/>
  <c r="I65" i="53"/>
  <c r="D38" i="53"/>
  <c r="P41" i="53"/>
  <c r="G174" i="53" s="1"/>
  <c r="G205" i="53" s="1"/>
  <c r="I66" i="53"/>
  <c r="K66" i="53" s="1"/>
  <c r="D174" i="52"/>
  <c r="B205" i="52" s="1"/>
  <c r="F136" i="52"/>
  <c r="J136" i="52" s="1"/>
  <c r="F174" i="52"/>
  <c r="F205" i="52" s="1"/>
  <c r="I66" i="52"/>
  <c r="F175" i="52"/>
  <c r="F206" i="52" s="1"/>
  <c r="F137" i="52"/>
  <c r="J137" i="52" s="1"/>
  <c r="I65" i="52"/>
  <c r="F66" i="52"/>
  <c r="E105" i="52" s="1"/>
  <c r="E137" i="52" s="1"/>
  <c r="F148" i="52" s="1"/>
  <c r="G166" i="52" s="1"/>
  <c r="D206" i="52" s="1"/>
  <c r="D175" i="52"/>
  <c r="B206" i="52" s="1"/>
  <c r="N66" i="52"/>
  <c r="F65" i="52"/>
  <c r="E104" i="52" s="1"/>
  <c r="E136" i="52" s="1"/>
  <c r="F147" i="52" s="1"/>
  <c r="G165" i="52" s="1"/>
  <c r="D205" i="52" s="1"/>
  <c r="C105" i="52"/>
  <c r="C137" i="52" s="1"/>
  <c r="D148" i="52" s="1"/>
  <c r="E166" i="52" s="1"/>
  <c r="G136" i="52"/>
  <c r="E205" i="52" s="1"/>
  <c r="K42" i="52"/>
  <c r="H148" i="52" s="1"/>
  <c r="P41" i="52"/>
  <c r="J65" i="52"/>
  <c r="P42" i="52"/>
  <c r="K41" i="52"/>
  <c r="H147" i="52" s="1"/>
  <c r="E174" i="52"/>
  <c r="C205" i="52" s="1"/>
  <c r="J65" i="51"/>
  <c r="I66" i="51"/>
  <c r="K66" i="51" s="1"/>
  <c r="K65" i="51"/>
  <c r="P41" i="51"/>
  <c r="G174" i="51" s="1"/>
  <c r="G205" i="51" s="1"/>
  <c r="K205" i="51" s="1"/>
  <c r="I68" i="50"/>
  <c r="K68" i="50" s="1"/>
  <c r="I69" i="50"/>
  <c r="K69" i="50" s="1"/>
  <c r="D38" i="50"/>
  <c r="P44" i="50"/>
  <c r="I67" i="50"/>
  <c r="I70" i="50"/>
  <c r="K70" i="50" s="1"/>
  <c r="P41" i="49"/>
  <c r="Q41" i="49" s="1"/>
  <c r="D38" i="49"/>
  <c r="P42" i="49"/>
  <c r="Q42" i="49" s="1"/>
  <c r="D38" i="48"/>
  <c r="P41" i="48"/>
  <c r="G174" i="48" s="1"/>
  <c r="I64" i="47"/>
  <c r="K64" i="47" s="1"/>
  <c r="D37" i="47"/>
  <c r="J64" i="47"/>
  <c r="F168" i="47"/>
  <c r="F198" i="47" s="1"/>
  <c r="D38" i="46"/>
  <c r="J41" i="46" s="1"/>
  <c r="K41" i="46" s="1"/>
  <c r="I64" i="46"/>
  <c r="K64" i="46" s="1"/>
  <c r="P41" i="46"/>
  <c r="F189" i="44"/>
  <c r="F223" i="44" s="1"/>
  <c r="E189" i="44"/>
  <c r="C223" i="44" s="1"/>
  <c r="D189" i="44"/>
  <c r="B223" i="44" s="1"/>
  <c r="F145" i="44"/>
  <c r="J145" i="44" s="1"/>
  <c r="N70" i="44"/>
  <c r="J70" i="44"/>
  <c r="J42" i="53"/>
  <c r="K42" i="53" s="1"/>
  <c r="E175" i="53"/>
  <c r="C206" i="53" s="1"/>
  <c r="C105" i="53"/>
  <c r="C137" i="53" s="1"/>
  <c r="D148" i="53" s="1"/>
  <c r="E166" i="53" s="1"/>
  <c r="G136" i="53"/>
  <c r="E205" i="53" s="1"/>
  <c r="O104" i="53"/>
  <c r="B105" i="53"/>
  <c r="B137" i="53" s="1"/>
  <c r="C148" i="53" s="1"/>
  <c r="D166" i="53" s="1"/>
  <c r="D174" i="53"/>
  <c r="B205" i="53" s="1"/>
  <c r="B104" i="53"/>
  <c r="B136" i="53" s="1"/>
  <c r="C147" i="53" s="1"/>
  <c r="D165" i="53" s="1"/>
  <c r="K65" i="53"/>
  <c r="J41" i="53"/>
  <c r="K41" i="53" s="1"/>
  <c r="P42" i="53"/>
  <c r="E174" i="53"/>
  <c r="C205" i="53" s="1"/>
  <c r="C104" i="53"/>
  <c r="C136" i="53" s="1"/>
  <c r="D147" i="53" s="1"/>
  <c r="E165" i="53" s="1"/>
  <c r="G137" i="53"/>
  <c r="E206" i="53" s="1"/>
  <c r="O105" i="53"/>
  <c r="F174" i="53"/>
  <c r="F205" i="53" s="1"/>
  <c r="F136" i="53"/>
  <c r="N65" i="53"/>
  <c r="F175" i="53"/>
  <c r="F206" i="53" s="1"/>
  <c r="F137" i="53"/>
  <c r="N66" i="53"/>
  <c r="D37" i="52"/>
  <c r="D37" i="51"/>
  <c r="J42" i="51" s="1"/>
  <c r="K42" i="51" s="1"/>
  <c r="D175" i="51"/>
  <c r="B206" i="51" s="1"/>
  <c r="B105" i="51"/>
  <c r="B137" i="51" s="1"/>
  <c r="C148" i="51" s="1"/>
  <c r="D166" i="51" s="1"/>
  <c r="E175" i="51"/>
  <c r="C206" i="51" s="1"/>
  <c r="C105" i="51"/>
  <c r="C137" i="51" s="1"/>
  <c r="D148" i="51" s="1"/>
  <c r="E166" i="51" s="1"/>
  <c r="G137" i="51"/>
  <c r="E206" i="51" s="1"/>
  <c r="O105" i="51"/>
  <c r="P42" i="51"/>
  <c r="G136" i="51"/>
  <c r="E205" i="51" s="1"/>
  <c r="O104" i="51"/>
  <c r="D174" i="51"/>
  <c r="B205" i="51" s="1"/>
  <c r="B104" i="51"/>
  <c r="B136" i="51" s="1"/>
  <c r="C147" i="51" s="1"/>
  <c r="D165" i="51" s="1"/>
  <c r="E174" i="51"/>
  <c r="C205" i="51" s="1"/>
  <c r="C104" i="51"/>
  <c r="C136" i="51" s="1"/>
  <c r="D147" i="51" s="1"/>
  <c r="E165" i="51" s="1"/>
  <c r="F174" i="51"/>
  <c r="F205" i="51" s="1"/>
  <c r="F136" i="51"/>
  <c r="N65" i="51"/>
  <c r="F175" i="51"/>
  <c r="F206" i="51" s="1"/>
  <c r="F137" i="51"/>
  <c r="N66" i="51"/>
  <c r="G186" i="50"/>
  <c r="G219" i="50" s="1"/>
  <c r="Q41" i="50"/>
  <c r="J42" i="50"/>
  <c r="K42" i="50" s="1"/>
  <c r="J43" i="50"/>
  <c r="K43" i="50" s="1"/>
  <c r="J44" i="50"/>
  <c r="K44" i="50" s="1"/>
  <c r="D186" i="50"/>
  <c r="B219" i="50" s="1"/>
  <c r="B108" i="50"/>
  <c r="B142" i="50" s="1"/>
  <c r="C155" i="50" s="1"/>
  <c r="D175" i="50" s="1"/>
  <c r="G142" i="50"/>
  <c r="E219" i="50" s="1"/>
  <c r="D187" i="50"/>
  <c r="B220" i="50" s="1"/>
  <c r="B109" i="50"/>
  <c r="B143" i="50" s="1"/>
  <c r="C156" i="50" s="1"/>
  <c r="D176" i="50" s="1"/>
  <c r="G143" i="50"/>
  <c r="E220" i="50" s="1"/>
  <c r="O109" i="50"/>
  <c r="D188" i="50"/>
  <c r="B221" i="50" s="1"/>
  <c r="B110" i="50"/>
  <c r="B144" i="50" s="1"/>
  <c r="C157" i="50" s="1"/>
  <c r="D177" i="50" s="1"/>
  <c r="G144" i="50"/>
  <c r="E221" i="50" s="1"/>
  <c r="O110" i="50"/>
  <c r="D189" i="50"/>
  <c r="B222" i="50" s="1"/>
  <c r="B111" i="50"/>
  <c r="B145" i="50" s="1"/>
  <c r="C158" i="50" s="1"/>
  <c r="D178" i="50" s="1"/>
  <c r="G145" i="50"/>
  <c r="E222" i="50" s="1"/>
  <c r="O111" i="50"/>
  <c r="E186" i="50"/>
  <c r="C219" i="50" s="1"/>
  <c r="C108" i="50"/>
  <c r="C142" i="50" s="1"/>
  <c r="D155" i="50" s="1"/>
  <c r="E175" i="50" s="1"/>
  <c r="E187" i="50"/>
  <c r="C220" i="50" s="1"/>
  <c r="C109" i="50"/>
  <c r="C143" i="50" s="1"/>
  <c r="D156" i="50" s="1"/>
  <c r="E176" i="50" s="1"/>
  <c r="E188" i="50"/>
  <c r="C221" i="50" s="1"/>
  <c r="C110" i="50"/>
  <c r="C144" i="50" s="1"/>
  <c r="D157" i="50" s="1"/>
  <c r="E177" i="50" s="1"/>
  <c r="E189" i="50"/>
  <c r="C222" i="50" s="1"/>
  <c r="C111" i="50"/>
  <c r="C145" i="50" s="1"/>
  <c r="D158" i="50" s="1"/>
  <c r="E178" i="50" s="1"/>
  <c r="J41" i="50"/>
  <c r="K41" i="50" s="1"/>
  <c r="P43" i="50"/>
  <c r="P42" i="50"/>
  <c r="F67" i="50"/>
  <c r="E108" i="50" s="1"/>
  <c r="E142" i="50" s="1"/>
  <c r="F155" i="50" s="1"/>
  <c r="G175" i="50" s="1"/>
  <c r="D219" i="50" s="1"/>
  <c r="F186" i="50"/>
  <c r="F219" i="50" s="1"/>
  <c r="F142" i="50"/>
  <c r="N67" i="50"/>
  <c r="F187" i="50"/>
  <c r="F220" i="50" s="1"/>
  <c r="F143" i="50"/>
  <c r="N68" i="50"/>
  <c r="F188" i="50"/>
  <c r="F221" i="50" s="1"/>
  <c r="F144" i="50"/>
  <c r="N69" i="50"/>
  <c r="F189" i="50"/>
  <c r="F222" i="50" s="1"/>
  <c r="F145" i="50"/>
  <c r="N70" i="50"/>
  <c r="J41" i="49"/>
  <c r="K41" i="49" s="1"/>
  <c r="K66" i="49"/>
  <c r="N65" i="49"/>
  <c r="G137" i="49"/>
  <c r="E206" i="49" s="1"/>
  <c r="O105" i="49"/>
  <c r="G174" i="49"/>
  <c r="G205" i="49" s="1"/>
  <c r="E174" i="49"/>
  <c r="C205" i="49" s="1"/>
  <c r="C104" i="49"/>
  <c r="C136" i="49" s="1"/>
  <c r="D147" i="49" s="1"/>
  <c r="E165" i="49" s="1"/>
  <c r="I65" i="49"/>
  <c r="K65" i="49" s="1"/>
  <c r="E175" i="49"/>
  <c r="C206" i="49" s="1"/>
  <c r="C105" i="49"/>
  <c r="C137" i="49" s="1"/>
  <c r="D148" i="49" s="1"/>
  <c r="E166" i="49" s="1"/>
  <c r="F175" i="49"/>
  <c r="F206" i="49" s="1"/>
  <c r="F137" i="49"/>
  <c r="D174" i="49"/>
  <c r="B205" i="49" s="1"/>
  <c r="B104" i="49"/>
  <c r="B136" i="49" s="1"/>
  <c r="C147" i="49" s="1"/>
  <c r="D165" i="49" s="1"/>
  <c r="J66" i="49"/>
  <c r="F174" i="49"/>
  <c r="F205" i="49" s="1"/>
  <c r="F136" i="49"/>
  <c r="G136" i="49"/>
  <c r="E205" i="49" s="1"/>
  <c r="O104" i="49"/>
  <c r="N66" i="49"/>
  <c r="D175" i="49"/>
  <c r="B206" i="49" s="1"/>
  <c r="B105" i="49"/>
  <c r="B137" i="49" s="1"/>
  <c r="C148" i="49" s="1"/>
  <c r="D166" i="49" s="1"/>
  <c r="J42" i="49"/>
  <c r="K42" i="49" s="1"/>
  <c r="K66" i="48"/>
  <c r="G137" i="48"/>
  <c r="E206" i="48" s="1"/>
  <c r="O105" i="48"/>
  <c r="J41" i="48"/>
  <c r="K41" i="48" s="1"/>
  <c r="F174" i="48"/>
  <c r="F205" i="48" s="1"/>
  <c r="F136" i="48"/>
  <c r="N66" i="48"/>
  <c r="J42" i="48"/>
  <c r="K42" i="48" s="1"/>
  <c r="G136" i="48"/>
  <c r="E205" i="48" s="1"/>
  <c r="O104" i="48"/>
  <c r="D175" i="48"/>
  <c r="B206" i="48" s="1"/>
  <c r="B105" i="48"/>
  <c r="B137" i="48" s="1"/>
  <c r="C148" i="48" s="1"/>
  <c r="D166" i="48" s="1"/>
  <c r="I65" i="48"/>
  <c r="K65" i="48" s="1"/>
  <c r="E175" i="48"/>
  <c r="C206" i="48" s="1"/>
  <c r="C105" i="48"/>
  <c r="C137" i="48" s="1"/>
  <c r="D148" i="48" s="1"/>
  <c r="E166" i="48" s="1"/>
  <c r="F175" i="48"/>
  <c r="F206" i="48" s="1"/>
  <c r="F137" i="48"/>
  <c r="P42" i="48"/>
  <c r="J65" i="48"/>
  <c r="J66" i="48"/>
  <c r="B104" i="48"/>
  <c r="B136" i="48" s="1"/>
  <c r="C147" i="48" s="1"/>
  <c r="D165" i="48" s="1"/>
  <c r="N65" i="48"/>
  <c r="C104" i="48"/>
  <c r="C136" i="48" s="1"/>
  <c r="D147" i="48" s="1"/>
  <c r="E165" i="48" s="1"/>
  <c r="G133" i="47"/>
  <c r="E198" i="47" s="1"/>
  <c r="O102" i="47"/>
  <c r="J41" i="47"/>
  <c r="K41" i="47" s="1"/>
  <c r="P41" i="47"/>
  <c r="G143" i="47"/>
  <c r="J133" i="47"/>
  <c r="I133" i="47"/>
  <c r="N64" i="47"/>
  <c r="B102" i="47"/>
  <c r="B133" i="47" s="1"/>
  <c r="C143" i="47" s="1"/>
  <c r="D160" i="47" s="1"/>
  <c r="C102" i="47"/>
  <c r="C133" i="47" s="1"/>
  <c r="D143" i="47" s="1"/>
  <c r="E160" i="47" s="1"/>
  <c r="E168" i="46"/>
  <c r="C198" i="46" s="1"/>
  <c r="C102" i="46"/>
  <c r="C133" i="46" s="1"/>
  <c r="D143" i="46" s="1"/>
  <c r="E160" i="46" s="1"/>
  <c r="B102" i="46"/>
  <c r="B133" i="46" s="1"/>
  <c r="C143" i="46" s="1"/>
  <c r="D160" i="46" s="1"/>
  <c r="F168" i="46"/>
  <c r="F198" i="46" s="1"/>
  <c r="F133" i="46"/>
  <c r="N64" i="46"/>
  <c r="G133" i="46"/>
  <c r="E198" i="46" s="1"/>
  <c r="F178" i="45"/>
  <c r="F177" i="45"/>
  <c r="F176" i="45"/>
  <c r="F175" i="45"/>
  <c r="F174" i="45"/>
  <c r="E174" i="45"/>
  <c r="D174" i="45"/>
  <c r="D154" i="45"/>
  <c r="C154" i="45"/>
  <c r="C140" i="45"/>
  <c r="B140" i="45"/>
  <c r="G136" i="45"/>
  <c r="F107" i="45"/>
  <c r="C107" i="45"/>
  <c r="B107" i="45"/>
  <c r="D103" i="45"/>
  <c r="D104" i="45" s="1"/>
  <c r="F137" i="45" s="1"/>
  <c r="D101" i="45"/>
  <c r="D102" i="45" s="1"/>
  <c r="F136" i="45" s="1"/>
  <c r="H70" i="45"/>
  <c r="F111" i="45" s="1"/>
  <c r="G70" i="45"/>
  <c r="N70" i="45" s="1"/>
  <c r="E70" i="45"/>
  <c r="D70" i="45"/>
  <c r="D111" i="45" s="1"/>
  <c r="D145" i="45" s="1"/>
  <c r="E158" i="45" s="1"/>
  <c r="C70" i="45"/>
  <c r="E189" i="45" s="1"/>
  <c r="C222" i="45" s="1"/>
  <c r="B70" i="45"/>
  <c r="H69" i="45"/>
  <c r="F110" i="45" s="1"/>
  <c r="G69" i="45"/>
  <c r="E69" i="45"/>
  <c r="D69" i="45"/>
  <c r="D110" i="45" s="1"/>
  <c r="D144" i="45" s="1"/>
  <c r="E157" i="45" s="1"/>
  <c r="C69" i="45"/>
  <c r="E188" i="45" s="1"/>
  <c r="C221" i="45" s="1"/>
  <c r="B69" i="45"/>
  <c r="D188" i="45" s="1"/>
  <c r="B221" i="45" s="1"/>
  <c r="H68" i="45"/>
  <c r="F109" i="45" s="1"/>
  <c r="G68" i="45"/>
  <c r="E68" i="45"/>
  <c r="D68" i="45"/>
  <c r="D109" i="45" s="1"/>
  <c r="D143" i="45" s="1"/>
  <c r="E156" i="45" s="1"/>
  <c r="C68" i="45"/>
  <c r="E187" i="45" s="1"/>
  <c r="C220" i="45" s="1"/>
  <c r="B68" i="45"/>
  <c r="D187" i="45" s="1"/>
  <c r="B220" i="45" s="1"/>
  <c r="H67" i="45"/>
  <c r="F108" i="45" s="1"/>
  <c r="G67" i="45"/>
  <c r="N67" i="45" s="1"/>
  <c r="E67" i="45"/>
  <c r="D67" i="45"/>
  <c r="D108" i="45" s="1"/>
  <c r="D142" i="45" s="1"/>
  <c r="E155" i="45" s="1"/>
  <c r="C67" i="45"/>
  <c r="E186" i="45" s="1"/>
  <c r="C219" i="45" s="1"/>
  <c r="B67" i="45"/>
  <c r="C66" i="45"/>
  <c r="B66" i="45"/>
  <c r="F44" i="45"/>
  <c r="F43" i="45"/>
  <c r="F69" i="45" s="1"/>
  <c r="E110" i="45" s="1"/>
  <c r="E144" i="45" s="1"/>
  <c r="F157" i="45" s="1"/>
  <c r="G177" i="45" s="1"/>
  <c r="D221" i="45" s="1"/>
  <c r="F42" i="45"/>
  <c r="F68" i="45" s="1"/>
  <c r="E109" i="45" s="1"/>
  <c r="E143" i="45" s="1"/>
  <c r="F156" i="45" s="1"/>
  <c r="G176" i="45" s="1"/>
  <c r="D220" i="45" s="1"/>
  <c r="F41" i="45"/>
  <c r="F67" i="45" s="1"/>
  <c r="E108" i="45" s="1"/>
  <c r="E142" i="45" s="1"/>
  <c r="F155" i="45" s="1"/>
  <c r="G175" i="45" s="1"/>
  <c r="D219" i="45" s="1"/>
  <c r="G36" i="45"/>
  <c r="D37" i="45" s="1"/>
  <c r="I68" i="37"/>
  <c r="I67" i="37"/>
  <c r="I66" i="37"/>
  <c r="J67" i="37"/>
  <c r="J68" i="37"/>
  <c r="J69" i="37"/>
  <c r="J70" i="37"/>
  <c r="J71" i="37"/>
  <c r="J72" i="37"/>
  <c r="J73" i="37"/>
  <c r="J74" i="37"/>
  <c r="J75" i="37"/>
  <c r="J76" i="37"/>
  <c r="J77" i="37"/>
  <c r="J78" i="37"/>
  <c r="J79" i="37"/>
  <c r="J80" i="37"/>
  <c r="J81" i="37"/>
  <c r="J82" i="37"/>
  <c r="J83" i="37"/>
  <c r="J84" i="37"/>
  <c r="J85" i="37"/>
  <c r="J86" i="37"/>
  <c r="J87" i="37"/>
  <c r="J88" i="37"/>
  <c r="J89" i="37"/>
  <c r="I69" i="37"/>
  <c r="I70" i="37"/>
  <c r="I71" i="37"/>
  <c r="I72" i="37"/>
  <c r="I73" i="37"/>
  <c r="I74" i="37"/>
  <c r="I75" i="37"/>
  <c r="I76" i="37"/>
  <c r="I77" i="37"/>
  <c r="I78" i="37"/>
  <c r="I79" i="37"/>
  <c r="I80" i="37"/>
  <c r="I81" i="37"/>
  <c r="I82" i="37"/>
  <c r="I83" i="37"/>
  <c r="I84" i="37"/>
  <c r="I85" i="37"/>
  <c r="I86" i="37"/>
  <c r="I87" i="37"/>
  <c r="I88" i="37"/>
  <c r="I89" i="37"/>
  <c r="F41" i="44"/>
  <c r="P41" i="44" s="1"/>
  <c r="F42" i="44"/>
  <c r="F43" i="44"/>
  <c r="F44" i="44"/>
  <c r="F177" i="44"/>
  <c r="F176" i="44"/>
  <c r="F175" i="44"/>
  <c r="F174" i="44"/>
  <c r="E174" i="44"/>
  <c r="D174" i="44"/>
  <c r="D154" i="44"/>
  <c r="C154" i="44"/>
  <c r="C140" i="44"/>
  <c r="B140" i="44"/>
  <c r="G136" i="44"/>
  <c r="N110" i="44"/>
  <c r="N109" i="44"/>
  <c r="N108" i="44"/>
  <c r="F107" i="44"/>
  <c r="C107" i="44"/>
  <c r="B107" i="44"/>
  <c r="D103" i="44"/>
  <c r="D104" i="44" s="1"/>
  <c r="F137" i="44" s="1"/>
  <c r="D101" i="44"/>
  <c r="D102" i="44" s="1"/>
  <c r="F136" i="44" s="1"/>
  <c r="H69" i="44"/>
  <c r="F110" i="44" s="1"/>
  <c r="G69" i="44"/>
  <c r="I69" i="44" s="1"/>
  <c r="E69" i="44"/>
  <c r="D69" i="44"/>
  <c r="D110" i="44" s="1"/>
  <c r="D144" i="44" s="1"/>
  <c r="E157" i="44" s="1"/>
  <c r="C69" i="44"/>
  <c r="B69" i="44"/>
  <c r="H68" i="44"/>
  <c r="F109" i="44" s="1"/>
  <c r="G68" i="44"/>
  <c r="E68" i="44"/>
  <c r="D68" i="44"/>
  <c r="D109" i="44" s="1"/>
  <c r="D143" i="44" s="1"/>
  <c r="E156" i="44" s="1"/>
  <c r="C68" i="44"/>
  <c r="B68" i="44"/>
  <c r="H67" i="44"/>
  <c r="F108" i="44" s="1"/>
  <c r="G67" i="44"/>
  <c r="I67" i="44" s="1"/>
  <c r="E67" i="44"/>
  <c r="D67" i="44"/>
  <c r="D108" i="44" s="1"/>
  <c r="D142" i="44" s="1"/>
  <c r="E155" i="44" s="1"/>
  <c r="C67" i="44"/>
  <c r="B67" i="44"/>
  <c r="C66" i="44"/>
  <c r="B66" i="44"/>
  <c r="G36" i="44"/>
  <c r="D38" i="44" s="1"/>
  <c r="J66" i="37"/>
  <c r="F50" i="22"/>
  <c r="F86" i="22" s="1"/>
  <c r="E136" i="22" s="1"/>
  <c r="E179" i="22" s="1"/>
  <c r="F201" i="22" s="1"/>
  <c r="G230" i="22" s="1"/>
  <c r="D293" i="22" s="1"/>
  <c r="J13" i="37"/>
  <c r="F65" i="41"/>
  <c r="P65" i="41" s="1"/>
  <c r="E87" i="22"/>
  <c r="E88" i="22"/>
  <c r="E89" i="22"/>
  <c r="E90" i="22"/>
  <c r="E86" i="22"/>
  <c r="N128" i="22"/>
  <c r="D123" i="22"/>
  <c r="D124" i="22" s="1"/>
  <c r="D121" i="22"/>
  <c r="D122" i="22" s="1"/>
  <c r="F383" i="42"/>
  <c r="F364" i="42"/>
  <c r="F365" i="42"/>
  <c r="F366" i="42"/>
  <c r="F367" i="42"/>
  <c r="F368" i="42"/>
  <c r="F369" i="42"/>
  <c r="F370" i="42"/>
  <c r="F371" i="42"/>
  <c r="F372" i="42"/>
  <c r="F373" i="42"/>
  <c r="F374" i="42"/>
  <c r="F375" i="42"/>
  <c r="F376" i="42"/>
  <c r="F377" i="42"/>
  <c r="F378" i="42"/>
  <c r="F379" i="42"/>
  <c r="F380" i="42"/>
  <c r="F381" i="42"/>
  <c r="F382" i="42"/>
  <c r="N195" i="42"/>
  <c r="N196" i="42"/>
  <c r="N197" i="42"/>
  <c r="N198" i="42"/>
  <c r="N199" i="42"/>
  <c r="N200" i="42"/>
  <c r="N201" i="42"/>
  <c r="N202" i="42"/>
  <c r="N203" i="42"/>
  <c r="N204" i="42"/>
  <c r="N205" i="42"/>
  <c r="N206" i="42"/>
  <c r="N207" i="42"/>
  <c r="N208" i="42"/>
  <c r="N209" i="42"/>
  <c r="N210" i="42"/>
  <c r="N211" i="42"/>
  <c r="N212" i="42"/>
  <c r="N213" i="42"/>
  <c r="N214" i="42"/>
  <c r="B119" i="42"/>
  <c r="B194" i="42" s="1"/>
  <c r="B262" i="42" s="1"/>
  <c r="C309" i="42" s="1"/>
  <c r="D363" i="42" s="1"/>
  <c r="B120" i="42"/>
  <c r="B195" i="42" s="1"/>
  <c r="B263" i="42" s="1"/>
  <c r="C310" i="42" s="1"/>
  <c r="D364" i="42" s="1"/>
  <c r="C120" i="42"/>
  <c r="C195" i="42" s="1"/>
  <c r="C263" i="42" s="1"/>
  <c r="D310" i="42" s="1"/>
  <c r="E364" i="42" s="1"/>
  <c r="D120" i="42"/>
  <c r="D195" i="42" s="1"/>
  <c r="D263" i="42" s="1"/>
  <c r="E310" i="42" s="1"/>
  <c r="E120" i="42"/>
  <c r="G120" i="42"/>
  <c r="I120" i="42" s="1"/>
  <c r="H120" i="42"/>
  <c r="F195" i="42" s="1"/>
  <c r="G263" i="42" s="1"/>
  <c r="E477" i="42" s="1"/>
  <c r="B121" i="42"/>
  <c r="B196" i="42" s="1"/>
  <c r="B264" i="42" s="1"/>
  <c r="C311" i="42" s="1"/>
  <c r="D365" i="42" s="1"/>
  <c r="C121" i="42"/>
  <c r="C196" i="42" s="1"/>
  <c r="C264" i="42" s="1"/>
  <c r="D311" i="42" s="1"/>
  <c r="E365" i="42" s="1"/>
  <c r="D121" i="42"/>
  <c r="D196" i="42" s="1"/>
  <c r="D264" i="42" s="1"/>
  <c r="E311" i="42" s="1"/>
  <c r="E121" i="42"/>
  <c r="G121" i="42"/>
  <c r="J121" i="42" s="1"/>
  <c r="H121" i="42"/>
  <c r="F196" i="42" s="1"/>
  <c r="G264" i="42" s="1"/>
  <c r="E478" i="42" s="1"/>
  <c r="B122" i="42"/>
  <c r="B197" i="42" s="1"/>
  <c r="B265" i="42" s="1"/>
  <c r="C312" i="42" s="1"/>
  <c r="D366" i="42" s="1"/>
  <c r="C122" i="42"/>
  <c r="C197" i="42" s="1"/>
  <c r="C265" i="42" s="1"/>
  <c r="D312" i="42" s="1"/>
  <c r="E366" i="42" s="1"/>
  <c r="D122" i="42"/>
  <c r="D197" i="42" s="1"/>
  <c r="D265" i="42" s="1"/>
  <c r="E312" i="42" s="1"/>
  <c r="E122" i="42"/>
  <c r="G122" i="42"/>
  <c r="J122" i="42" s="1"/>
  <c r="H122" i="42"/>
  <c r="F197" i="42" s="1"/>
  <c r="G265" i="42" s="1"/>
  <c r="E479" i="42" s="1"/>
  <c r="B123" i="42"/>
  <c r="B198" i="42" s="1"/>
  <c r="B266" i="42" s="1"/>
  <c r="C313" i="42" s="1"/>
  <c r="D367" i="42" s="1"/>
  <c r="C123" i="42"/>
  <c r="C198" i="42" s="1"/>
  <c r="C266" i="42" s="1"/>
  <c r="D313" i="42" s="1"/>
  <c r="E367" i="42" s="1"/>
  <c r="D123" i="42"/>
  <c r="D198" i="42" s="1"/>
  <c r="D266" i="42" s="1"/>
  <c r="E313" i="42" s="1"/>
  <c r="E123" i="42"/>
  <c r="G123" i="42"/>
  <c r="I123" i="42" s="1"/>
  <c r="H123" i="42"/>
  <c r="F198" i="42" s="1"/>
  <c r="G266" i="42" s="1"/>
  <c r="E480" i="42" s="1"/>
  <c r="B124" i="42"/>
  <c r="B199" i="42" s="1"/>
  <c r="B267" i="42" s="1"/>
  <c r="C314" i="42" s="1"/>
  <c r="D368" i="42" s="1"/>
  <c r="C124" i="42"/>
  <c r="C199" i="42" s="1"/>
  <c r="C267" i="42" s="1"/>
  <c r="D314" i="42" s="1"/>
  <c r="E368" i="42" s="1"/>
  <c r="D124" i="42"/>
  <c r="D199" i="42" s="1"/>
  <c r="D267" i="42" s="1"/>
  <c r="E314" i="42" s="1"/>
  <c r="E124" i="42"/>
  <c r="G124" i="42"/>
  <c r="I124" i="42" s="1"/>
  <c r="H124" i="42"/>
  <c r="F199" i="42" s="1"/>
  <c r="G267" i="42" s="1"/>
  <c r="E481" i="42" s="1"/>
  <c r="B125" i="42"/>
  <c r="B200" i="42" s="1"/>
  <c r="B268" i="42" s="1"/>
  <c r="C315" i="42" s="1"/>
  <c r="D369" i="42" s="1"/>
  <c r="C125" i="42"/>
  <c r="C200" i="42" s="1"/>
  <c r="C268" i="42" s="1"/>
  <c r="D315" i="42" s="1"/>
  <c r="E369" i="42" s="1"/>
  <c r="D125" i="42"/>
  <c r="D200" i="42" s="1"/>
  <c r="D268" i="42" s="1"/>
  <c r="E315" i="42" s="1"/>
  <c r="E125" i="42"/>
  <c r="G125" i="42"/>
  <c r="I125" i="42" s="1"/>
  <c r="H125" i="42"/>
  <c r="F200" i="42" s="1"/>
  <c r="G268" i="42" s="1"/>
  <c r="E482" i="42" s="1"/>
  <c r="B126" i="42"/>
  <c r="B201" i="42" s="1"/>
  <c r="B269" i="42" s="1"/>
  <c r="C316" i="42" s="1"/>
  <c r="D370" i="42" s="1"/>
  <c r="C126" i="42"/>
  <c r="C201" i="42" s="1"/>
  <c r="C269" i="42" s="1"/>
  <c r="D316" i="42" s="1"/>
  <c r="E370" i="42" s="1"/>
  <c r="D126" i="42"/>
  <c r="D201" i="42" s="1"/>
  <c r="D269" i="42" s="1"/>
  <c r="E316" i="42" s="1"/>
  <c r="E126" i="42"/>
  <c r="G126" i="42"/>
  <c r="I126" i="42" s="1"/>
  <c r="H126" i="42"/>
  <c r="F201" i="42" s="1"/>
  <c r="G269" i="42" s="1"/>
  <c r="E483" i="42" s="1"/>
  <c r="B127" i="42"/>
  <c r="B202" i="42" s="1"/>
  <c r="B270" i="42" s="1"/>
  <c r="C317" i="42" s="1"/>
  <c r="D371" i="42" s="1"/>
  <c r="C127" i="42"/>
  <c r="C202" i="42" s="1"/>
  <c r="C270" i="42" s="1"/>
  <c r="D317" i="42" s="1"/>
  <c r="E371" i="42" s="1"/>
  <c r="D127" i="42"/>
  <c r="D202" i="42" s="1"/>
  <c r="D270" i="42" s="1"/>
  <c r="E317" i="42" s="1"/>
  <c r="E127" i="42"/>
  <c r="G127" i="42"/>
  <c r="J127" i="42" s="1"/>
  <c r="H127" i="42"/>
  <c r="F202" i="42" s="1"/>
  <c r="G270" i="42" s="1"/>
  <c r="E484" i="42" s="1"/>
  <c r="B128" i="42"/>
  <c r="B203" i="42" s="1"/>
  <c r="B271" i="42" s="1"/>
  <c r="C318" i="42" s="1"/>
  <c r="D372" i="42" s="1"/>
  <c r="C128" i="42"/>
  <c r="C203" i="42" s="1"/>
  <c r="C271" i="42" s="1"/>
  <c r="D318" i="42" s="1"/>
  <c r="E372" i="42" s="1"/>
  <c r="D128" i="42"/>
  <c r="D203" i="42" s="1"/>
  <c r="D271" i="42" s="1"/>
  <c r="E318" i="42" s="1"/>
  <c r="E128" i="42"/>
  <c r="G128" i="42"/>
  <c r="I128" i="42" s="1"/>
  <c r="H128" i="42"/>
  <c r="F203" i="42" s="1"/>
  <c r="G271" i="42" s="1"/>
  <c r="E485" i="42" s="1"/>
  <c r="B129" i="42"/>
  <c r="B204" i="42" s="1"/>
  <c r="B272" i="42" s="1"/>
  <c r="C319" i="42" s="1"/>
  <c r="D373" i="42" s="1"/>
  <c r="C129" i="42"/>
  <c r="C204" i="42" s="1"/>
  <c r="C272" i="42" s="1"/>
  <c r="D319" i="42" s="1"/>
  <c r="E373" i="42" s="1"/>
  <c r="D129" i="42"/>
  <c r="D204" i="42" s="1"/>
  <c r="D272" i="42" s="1"/>
  <c r="E319" i="42" s="1"/>
  <c r="E129" i="42"/>
  <c r="G129" i="42"/>
  <c r="J129" i="42" s="1"/>
  <c r="H129" i="42"/>
  <c r="F204" i="42" s="1"/>
  <c r="G272" i="42" s="1"/>
  <c r="E486" i="42" s="1"/>
  <c r="B130" i="42"/>
  <c r="B205" i="42" s="1"/>
  <c r="B273" i="42" s="1"/>
  <c r="C320" i="42" s="1"/>
  <c r="D374" i="42" s="1"/>
  <c r="C130" i="42"/>
  <c r="C205" i="42" s="1"/>
  <c r="C273" i="42" s="1"/>
  <c r="D320" i="42" s="1"/>
  <c r="E374" i="42" s="1"/>
  <c r="D130" i="42"/>
  <c r="D205" i="42" s="1"/>
  <c r="D273" i="42" s="1"/>
  <c r="E320" i="42" s="1"/>
  <c r="E130" i="42"/>
  <c r="G130" i="42"/>
  <c r="I130" i="42" s="1"/>
  <c r="H130" i="42"/>
  <c r="F205" i="42" s="1"/>
  <c r="G273" i="42" s="1"/>
  <c r="E487" i="42" s="1"/>
  <c r="B131" i="42"/>
  <c r="B206" i="42" s="1"/>
  <c r="B274" i="42" s="1"/>
  <c r="C321" i="42" s="1"/>
  <c r="D375" i="42" s="1"/>
  <c r="C131" i="42"/>
  <c r="C206" i="42" s="1"/>
  <c r="C274" i="42" s="1"/>
  <c r="D321" i="42" s="1"/>
  <c r="E375" i="42" s="1"/>
  <c r="D131" i="42"/>
  <c r="D206" i="42" s="1"/>
  <c r="D274" i="42" s="1"/>
  <c r="E321" i="42" s="1"/>
  <c r="E131" i="42"/>
  <c r="G131" i="42"/>
  <c r="I131" i="42" s="1"/>
  <c r="H131" i="42"/>
  <c r="F206" i="42" s="1"/>
  <c r="G274" i="42" s="1"/>
  <c r="E488" i="42" s="1"/>
  <c r="B132" i="42"/>
  <c r="B207" i="42" s="1"/>
  <c r="B275" i="42" s="1"/>
  <c r="C322" i="42" s="1"/>
  <c r="D376" i="42" s="1"/>
  <c r="C132" i="42"/>
  <c r="C207" i="42" s="1"/>
  <c r="C275" i="42" s="1"/>
  <c r="D322" i="42" s="1"/>
  <c r="E376" i="42" s="1"/>
  <c r="D132" i="42"/>
  <c r="D207" i="42" s="1"/>
  <c r="D275" i="42" s="1"/>
  <c r="E322" i="42" s="1"/>
  <c r="E132" i="42"/>
  <c r="G132" i="42"/>
  <c r="I132" i="42" s="1"/>
  <c r="H132" i="42"/>
  <c r="F207" i="42" s="1"/>
  <c r="G275" i="42" s="1"/>
  <c r="E489" i="42" s="1"/>
  <c r="B133" i="42"/>
  <c r="B208" i="42" s="1"/>
  <c r="B276" i="42" s="1"/>
  <c r="C323" i="42" s="1"/>
  <c r="D377" i="42" s="1"/>
  <c r="C133" i="42"/>
  <c r="C208" i="42" s="1"/>
  <c r="C276" i="42" s="1"/>
  <c r="D323" i="42" s="1"/>
  <c r="E377" i="42" s="1"/>
  <c r="D133" i="42"/>
  <c r="D208" i="42" s="1"/>
  <c r="D276" i="42" s="1"/>
  <c r="E323" i="42" s="1"/>
  <c r="E133" i="42"/>
  <c r="G133" i="42"/>
  <c r="J133" i="42" s="1"/>
  <c r="H133" i="42"/>
  <c r="F208" i="42" s="1"/>
  <c r="G276" i="42" s="1"/>
  <c r="E490" i="42" s="1"/>
  <c r="B134" i="42"/>
  <c r="B209" i="42" s="1"/>
  <c r="B277" i="42" s="1"/>
  <c r="C324" i="42" s="1"/>
  <c r="D378" i="42" s="1"/>
  <c r="C134" i="42"/>
  <c r="C209" i="42" s="1"/>
  <c r="C277" i="42" s="1"/>
  <c r="D324" i="42" s="1"/>
  <c r="E378" i="42" s="1"/>
  <c r="D134" i="42"/>
  <c r="D209" i="42" s="1"/>
  <c r="D277" i="42" s="1"/>
  <c r="E324" i="42" s="1"/>
  <c r="E134" i="42"/>
  <c r="G134" i="42"/>
  <c r="N134" i="42" s="1"/>
  <c r="H134" i="42"/>
  <c r="F209" i="42" s="1"/>
  <c r="G277" i="42" s="1"/>
  <c r="E491" i="42" s="1"/>
  <c r="B135" i="42"/>
  <c r="B210" i="42" s="1"/>
  <c r="B278" i="42" s="1"/>
  <c r="C325" i="42" s="1"/>
  <c r="D379" i="42" s="1"/>
  <c r="C135" i="42"/>
  <c r="C210" i="42" s="1"/>
  <c r="C278" i="42" s="1"/>
  <c r="D325" i="42" s="1"/>
  <c r="E379" i="42" s="1"/>
  <c r="D135" i="42"/>
  <c r="D210" i="42" s="1"/>
  <c r="D278" i="42" s="1"/>
  <c r="E325" i="42" s="1"/>
  <c r="E135" i="42"/>
  <c r="G135" i="42"/>
  <c r="J135" i="42" s="1"/>
  <c r="H135" i="42"/>
  <c r="F210" i="42" s="1"/>
  <c r="G278" i="42" s="1"/>
  <c r="E492" i="42" s="1"/>
  <c r="B136" i="42"/>
  <c r="B211" i="42" s="1"/>
  <c r="B279" i="42" s="1"/>
  <c r="C326" i="42" s="1"/>
  <c r="D380" i="42" s="1"/>
  <c r="C136" i="42"/>
  <c r="C211" i="42" s="1"/>
  <c r="C279" i="42" s="1"/>
  <c r="D326" i="42" s="1"/>
  <c r="E380" i="42" s="1"/>
  <c r="D136" i="42"/>
  <c r="D211" i="42" s="1"/>
  <c r="D279" i="42" s="1"/>
  <c r="E326" i="42" s="1"/>
  <c r="E136" i="42"/>
  <c r="G136" i="42"/>
  <c r="I136" i="42" s="1"/>
  <c r="H136" i="42"/>
  <c r="F211" i="42" s="1"/>
  <c r="G279" i="42" s="1"/>
  <c r="E493" i="42" s="1"/>
  <c r="B137" i="42"/>
  <c r="B212" i="42" s="1"/>
  <c r="B280" i="42" s="1"/>
  <c r="C327" i="42" s="1"/>
  <c r="D381" i="42" s="1"/>
  <c r="C137" i="42"/>
  <c r="C212" i="42" s="1"/>
  <c r="C280" i="42" s="1"/>
  <c r="D327" i="42" s="1"/>
  <c r="E381" i="42" s="1"/>
  <c r="D137" i="42"/>
  <c r="D212" i="42" s="1"/>
  <c r="D280" i="42" s="1"/>
  <c r="E327" i="42" s="1"/>
  <c r="E137" i="42"/>
  <c r="G137" i="42"/>
  <c r="I137" i="42" s="1"/>
  <c r="H137" i="42"/>
  <c r="F212" i="42" s="1"/>
  <c r="G280" i="42" s="1"/>
  <c r="E494" i="42" s="1"/>
  <c r="B138" i="42"/>
  <c r="B213" i="42" s="1"/>
  <c r="B281" i="42" s="1"/>
  <c r="C328" i="42" s="1"/>
  <c r="D382" i="42" s="1"/>
  <c r="C138" i="42"/>
  <c r="C213" i="42" s="1"/>
  <c r="C281" i="42" s="1"/>
  <c r="D328" i="42" s="1"/>
  <c r="E382" i="42" s="1"/>
  <c r="D138" i="42"/>
  <c r="D213" i="42" s="1"/>
  <c r="D281" i="42" s="1"/>
  <c r="E328" i="42" s="1"/>
  <c r="E138" i="42"/>
  <c r="G138" i="42"/>
  <c r="I138" i="42" s="1"/>
  <c r="H138" i="42"/>
  <c r="F213" i="42" s="1"/>
  <c r="G281" i="42" s="1"/>
  <c r="E495" i="42" s="1"/>
  <c r="B139" i="42"/>
  <c r="B214" i="42" s="1"/>
  <c r="B282" i="42" s="1"/>
  <c r="C329" i="42" s="1"/>
  <c r="D383" i="42" s="1"/>
  <c r="C139" i="42"/>
  <c r="C214" i="42" s="1"/>
  <c r="C282" i="42" s="1"/>
  <c r="D329" i="42" s="1"/>
  <c r="E383" i="42" s="1"/>
  <c r="D139" i="42"/>
  <c r="D214" i="42" s="1"/>
  <c r="D282" i="42" s="1"/>
  <c r="E329" i="42" s="1"/>
  <c r="E139" i="42"/>
  <c r="G139" i="42"/>
  <c r="J139" i="42" s="1"/>
  <c r="H139" i="42"/>
  <c r="F214" i="42" s="1"/>
  <c r="G282" i="42" s="1"/>
  <c r="E496" i="42" s="1"/>
  <c r="F60" i="42"/>
  <c r="P60" i="42" s="1"/>
  <c r="F61" i="42"/>
  <c r="P61" i="42" s="1"/>
  <c r="F62" i="42"/>
  <c r="J62" i="42" s="1"/>
  <c r="K62" i="42" s="1"/>
  <c r="H312" i="42" s="1"/>
  <c r="F63" i="42"/>
  <c r="P63" i="42" s="1"/>
  <c r="F64" i="42"/>
  <c r="P64" i="42" s="1"/>
  <c r="F65" i="42"/>
  <c r="J65" i="42" s="1"/>
  <c r="K65" i="42" s="1"/>
  <c r="H315" i="42" s="1"/>
  <c r="F66" i="42"/>
  <c r="P66" i="42" s="1"/>
  <c r="F67" i="42"/>
  <c r="P67" i="42" s="1"/>
  <c r="F68" i="42"/>
  <c r="J68" i="42" s="1"/>
  <c r="K68" i="42" s="1"/>
  <c r="H318" i="42" s="1"/>
  <c r="F69" i="42"/>
  <c r="J69" i="42" s="1"/>
  <c r="K69" i="42" s="1"/>
  <c r="H319" i="42" s="1"/>
  <c r="F70" i="42"/>
  <c r="P70" i="42" s="1"/>
  <c r="F71" i="42"/>
  <c r="J71" i="42" s="1"/>
  <c r="K71" i="42" s="1"/>
  <c r="H321" i="42" s="1"/>
  <c r="F72" i="42"/>
  <c r="P72" i="42" s="1"/>
  <c r="F73" i="42"/>
  <c r="P73" i="42" s="1"/>
  <c r="F74" i="42"/>
  <c r="J74" i="42" s="1"/>
  <c r="K74" i="42" s="1"/>
  <c r="H324" i="42" s="1"/>
  <c r="F75" i="42"/>
  <c r="P75" i="42" s="1"/>
  <c r="F76" i="42"/>
  <c r="P76" i="42" s="1"/>
  <c r="F77" i="42"/>
  <c r="J77" i="42" s="1"/>
  <c r="K77" i="42" s="1"/>
  <c r="H327" i="42" s="1"/>
  <c r="F78" i="42"/>
  <c r="J78" i="42" s="1"/>
  <c r="K78" i="42" s="1"/>
  <c r="H328" i="42" s="1"/>
  <c r="F79" i="42"/>
  <c r="P79" i="42" s="1"/>
  <c r="F392" i="41"/>
  <c r="F393" i="41"/>
  <c r="F394" i="41"/>
  <c r="F395" i="41"/>
  <c r="F379" i="41"/>
  <c r="F380" i="41"/>
  <c r="F381" i="41"/>
  <c r="F382" i="41"/>
  <c r="F383" i="41"/>
  <c r="F384" i="41"/>
  <c r="F385" i="41"/>
  <c r="F386" i="41"/>
  <c r="F387" i="41"/>
  <c r="F388" i="41"/>
  <c r="F389" i="41"/>
  <c r="F390" i="41"/>
  <c r="F391" i="41"/>
  <c r="N204" i="41"/>
  <c r="N205" i="41"/>
  <c r="N206" i="41"/>
  <c r="N207" i="41"/>
  <c r="N208" i="41"/>
  <c r="N209" i="41"/>
  <c r="N210" i="41"/>
  <c r="N211" i="41"/>
  <c r="N212" i="41"/>
  <c r="N213" i="41"/>
  <c r="N214" i="41"/>
  <c r="N215" i="41"/>
  <c r="N216" i="41"/>
  <c r="N217" i="41"/>
  <c r="N218" i="41"/>
  <c r="N219" i="41"/>
  <c r="N220" i="41"/>
  <c r="B126" i="41"/>
  <c r="B127" i="41"/>
  <c r="C127" i="41"/>
  <c r="D127" i="41"/>
  <c r="D204" i="41" s="1"/>
  <c r="D274" i="41" s="1"/>
  <c r="E323" i="41" s="1"/>
  <c r="E127" i="41"/>
  <c r="G127" i="41"/>
  <c r="H127" i="41"/>
  <c r="F204" i="41" s="1"/>
  <c r="G274" i="41" s="1"/>
  <c r="E496" i="41" s="1"/>
  <c r="B128" i="41"/>
  <c r="C128" i="41"/>
  <c r="D128" i="41"/>
  <c r="D205" i="41" s="1"/>
  <c r="D275" i="41" s="1"/>
  <c r="E324" i="41" s="1"/>
  <c r="E128" i="41"/>
  <c r="G128" i="41"/>
  <c r="H128" i="41"/>
  <c r="F205" i="41" s="1"/>
  <c r="G275" i="41" s="1"/>
  <c r="E497" i="41" s="1"/>
  <c r="B129" i="41"/>
  <c r="C129" i="41"/>
  <c r="D129" i="41"/>
  <c r="D206" i="41" s="1"/>
  <c r="D276" i="41" s="1"/>
  <c r="E325" i="41" s="1"/>
  <c r="E129" i="41"/>
  <c r="G129" i="41"/>
  <c r="H129" i="41"/>
  <c r="F206" i="41" s="1"/>
  <c r="G276" i="41" s="1"/>
  <c r="E498" i="41" s="1"/>
  <c r="B130" i="41"/>
  <c r="C130" i="41"/>
  <c r="D130" i="41"/>
  <c r="D207" i="41" s="1"/>
  <c r="D277" i="41" s="1"/>
  <c r="E326" i="41" s="1"/>
  <c r="E130" i="41"/>
  <c r="G130" i="41"/>
  <c r="H130" i="41"/>
  <c r="F207" i="41" s="1"/>
  <c r="G277" i="41" s="1"/>
  <c r="E499" i="41" s="1"/>
  <c r="B131" i="41"/>
  <c r="C131" i="41"/>
  <c r="D131" i="41"/>
  <c r="D208" i="41" s="1"/>
  <c r="D278" i="41" s="1"/>
  <c r="E327" i="41" s="1"/>
  <c r="E131" i="41"/>
  <c r="G131" i="41"/>
  <c r="H131" i="41"/>
  <c r="F208" i="41" s="1"/>
  <c r="G278" i="41" s="1"/>
  <c r="E500" i="41" s="1"/>
  <c r="B132" i="41"/>
  <c r="C132" i="41"/>
  <c r="D132" i="41"/>
  <c r="D209" i="41" s="1"/>
  <c r="D279" i="41" s="1"/>
  <c r="E328" i="41" s="1"/>
  <c r="E132" i="41"/>
  <c r="G132" i="41"/>
  <c r="H132" i="41"/>
  <c r="F209" i="41" s="1"/>
  <c r="G279" i="41" s="1"/>
  <c r="E501" i="41" s="1"/>
  <c r="B133" i="41"/>
  <c r="C133" i="41"/>
  <c r="D133" i="41"/>
  <c r="D210" i="41" s="1"/>
  <c r="D280" i="41" s="1"/>
  <c r="E329" i="41" s="1"/>
  <c r="E133" i="41"/>
  <c r="G133" i="41"/>
  <c r="H133" i="41"/>
  <c r="F210" i="41" s="1"/>
  <c r="G280" i="41" s="1"/>
  <c r="E502" i="41" s="1"/>
  <c r="B134" i="41"/>
  <c r="C134" i="41"/>
  <c r="D134" i="41"/>
  <c r="D211" i="41" s="1"/>
  <c r="D281" i="41" s="1"/>
  <c r="E330" i="41" s="1"/>
  <c r="E134" i="41"/>
  <c r="G134" i="41"/>
  <c r="H134" i="41"/>
  <c r="F211" i="41" s="1"/>
  <c r="G281" i="41" s="1"/>
  <c r="E503" i="41" s="1"/>
  <c r="B135" i="41"/>
  <c r="C135" i="41"/>
  <c r="D135" i="41"/>
  <c r="D212" i="41" s="1"/>
  <c r="D282" i="41" s="1"/>
  <c r="E331" i="41" s="1"/>
  <c r="E135" i="41"/>
  <c r="G135" i="41"/>
  <c r="H135" i="41"/>
  <c r="F212" i="41" s="1"/>
  <c r="G282" i="41" s="1"/>
  <c r="E504" i="41" s="1"/>
  <c r="B136" i="41"/>
  <c r="C136" i="41"/>
  <c r="D136" i="41"/>
  <c r="D213" i="41" s="1"/>
  <c r="D283" i="41" s="1"/>
  <c r="E332" i="41" s="1"/>
  <c r="E136" i="41"/>
  <c r="G136" i="41"/>
  <c r="H136" i="41"/>
  <c r="F213" i="41" s="1"/>
  <c r="G283" i="41" s="1"/>
  <c r="E505" i="41" s="1"/>
  <c r="B137" i="41"/>
  <c r="C137" i="41"/>
  <c r="D137" i="41"/>
  <c r="D214" i="41" s="1"/>
  <c r="D284" i="41" s="1"/>
  <c r="E333" i="41" s="1"/>
  <c r="E137" i="41"/>
  <c r="G137" i="41"/>
  <c r="H137" i="41"/>
  <c r="F214" i="41" s="1"/>
  <c r="G284" i="41" s="1"/>
  <c r="E506" i="41" s="1"/>
  <c r="B138" i="41"/>
  <c r="C138" i="41"/>
  <c r="D138" i="41"/>
  <c r="D215" i="41" s="1"/>
  <c r="D285" i="41" s="1"/>
  <c r="E334" i="41" s="1"/>
  <c r="E138" i="41"/>
  <c r="G138" i="41"/>
  <c r="H138" i="41"/>
  <c r="F215" i="41" s="1"/>
  <c r="G285" i="41" s="1"/>
  <c r="E507" i="41" s="1"/>
  <c r="B139" i="41"/>
  <c r="C139" i="41"/>
  <c r="D139" i="41"/>
  <c r="D216" i="41" s="1"/>
  <c r="D286" i="41" s="1"/>
  <c r="E335" i="41" s="1"/>
  <c r="E139" i="41"/>
  <c r="G139" i="41"/>
  <c r="H139" i="41"/>
  <c r="F216" i="41" s="1"/>
  <c r="G286" i="41" s="1"/>
  <c r="E508" i="41" s="1"/>
  <c r="B140" i="41"/>
  <c r="C140" i="41"/>
  <c r="D140" i="41"/>
  <c r="D217" i="41" s="1"/>
  <c r="D287" i="41" s="1"/>
  <c r="E336" i="41" s="1"/>
  <c r="E140" i="41"/>
  <c r="G140" i="41"/>
  <c r="H140" i="41"/>
  <c r="F217" i="41" s="1"/>
  <c r="G287" i="41" s="1"/>
  <c r="E509" i="41" s="1"/>
  <c r="B141" i="41"/>
  <c r="C141" i="41"/>
  <c r="D141" i="41"/>
  <c r="D218" i="41" s="1"/>
  <c r="D288" i="41" s="1"/>
  <c r="E337" i="41" s="1"/>
  <c r="E141" i="41"/>
  <c r="G141" i="41"/>
  <c r="H141" i="41"/>
  <c r="F218" i="41" s="1"/>
  <c r="G288" i="41" s="1"/>
  <c r="E510" i="41" s="1"/>
  <c r="B142" i="41"/>
  <c r="C142" i="41"/>
  <c r="D142" i="41"/>
  <c r="D219" i="41" s="1"/>
  <c r="D289" i="41" s="1"/>
  <c r="E338" i="41" s="1"/>
  <c r="E142" i="41"/>
  <c r="G142" i="41"/>
  <c r="H142" i="41"/>
  <c r="F219" i="41" s="1"/>
  <c r="G289" i="41" s="1"/>
  <c r="E511" i="41" s="1"/>
  <c r="B143" i="41"/>
  <c r="C143" i="41"/>
  <c r="D143" i="41"/>
  <c r="D220" i="41" s="1"/>
  <c r="D290" i="41" s="1"/>
  <c r="E339" i="41" s="1"/>
  <c r="E143" i="41"/>
  <c r="G143" i="41"/>
  <c r="H143" i="41"/>
  <c r="F220" i="41" s="1"/>
  <c r="G290" i="41" s="1"/>
  <c r="E512" i="41" s="1"/>
  <c r="F66" i="41"/>
  <c r="J66" i="41" s="1"/>
  <c r="F67" i="41"/>
  <c r="J67" i="41" s="1"/>
  <c r="K67" i="41" s="1"/>
  <c r="H325" i="41" s="1"/>
  <c r="F68" i="41"/>
  <c r="J68" i="41" s="1"/>
  <c r="K68" i="41" s="1"/>
  <c r="H326" i="41" s="1"/>
  <c r="F69" i="41"/>
  <c r="P69" i="41" s="1"/>
  <c r="F70" i="41"/>
  <c r="P70" i="41" s="1"/>
  <c r="F71" i="41"/>
  <c r="J71" i="41" s="1"/>
  <c r="K71" i="41" s="1"/>
  <c r="H329" i="41" s="1"/>
  <c r="F72" i="41"/>
  <c r="J72" i="41" s="1"/>
  <c r="K72" i="41" s="1"/>
  <c r="H330" i="41" s="1"/>
  <c r="F73" i="41"/>
  <c r="P73" i="41" s="1"/>
  <c r="F74" i="41"/>
  <c r="P74" i="41" s="1"/>
  <c r="F75" i="41"/>
  <c r="P75" i="41" s="1"/>
  <c r="F76" i="41"/>
  <c r="P76" i="41" s="1"/>
  <c r="F77" i="41"/>
  <c r="J77" i="41" s="1"/>
  <c r="K77" i="41" s="1"/>
  <c r="H335" i="41" s="1"/>
  <c r="F78" i="41"/>
  <c r="J78" i="41" s="1"/>
  <c r="K78" i="41" s="1"/>
  <c r="H336" i="41" s="1"/>
  <c r="F79" i="41"/>
  <c r="J79" i="41" s="1"/>
  <c r="K79" i="41" s="1"/>
  <c r="H337" i="41" s="1"/>
  <c r="F80" i="41"/>
  <c r="P80" i="41" s="1"/>
  <c r="F81" i="41"/>
  <c r="P81" i="41" s="1"/>
  <c r="F230" i="22"/>
  <c r="F231" i="22"/>
  <c r="F232" i="22"/>
  <c r="F233" i="22"/>
  <c r="F234" i="22"/>
  <c r="N136" i="22"/>
  <c r="N137" i="22"/>
  <c r="N138" i="22"/>
  <c r="N139" i="22"/>
  <c r="N140" i="22"/>
  <c r="B85" i="22"/>
  <c r="B135" i="22" s="1"/>
  <c r="B178" i="22" s="1"/>
  <c r="C200" i="22" s="1"/>
  <c r="D229" i="22" s="1"/>
  <c r="B86" i="22"/>
  <c r="B136" i="22" s="1"/>
  <c r="B179" i="22" s="1"/>
  <c r="C201" i="22" s="1"/>
  <c r="D230" i="22" s="1"/>
  <c r="C86" i="22"/>
  <c r="C136" i="22" s="1"/>
  <c r="C179" i="22" s="1"/>
  <c r="D201" i="22" s="1"/>
  <c r="E230" i="22" s="1"/>
  <c r="D86" i="22"/>
  <c r="D136" i="22" s="1"/>
  <c r="D179" i="22" s="1"/>
  <c r="E201" i="22" s="1"/>
  <c r="H86" i="22"/>
  <c r="F136" i="22" s="1"/>
  <c r="B87" i="22"/>
  <c r="B137" i="22" s="1"/>
  <c r="B180" i="22" s="1"/>
  <c r="C202" i="22" s="1"/>
  <c r="D231" i="22" s="1"/>
  <c r="C87" i="22"/>
  <c r="C137" i="22" s="1"/>
  <c r="C180" i="22" s="1"/>
  <c r="D202" i="22" s="1"/>
  <c r="E231" i="22" s="1"/>
  <c r="D87" i="22"/>
  <c r="D137" i="22" s="1"/>
  <c r="D180" i="22" s="1"/>
  <c r="E202" i="22" s="1"/>
  <c r="H87" i="22"/>
  <c r="F137" i="22" s="1"/>
  <c r="B88" i="22"/>
  <c r="B138" i="22" s="1"/>
  <c r="B181" i="22" s="1"/>
  <c r="C203" i="22" s="1"/>
  <c r="D232" i="22" s="1"/>
  <c r="C88" i="22"/>
  <c r="C138" i="22" s="1"/>
  <c r="C181" i="22" s="1"/>
  <c r="D203" i="22" s="1"/>
  <c r="E232" i="22" s="1"/>
  <c r="D88" i="22"/>
  <c r="D138" i="22" s="1"/>
  <c r="D181" i="22" s="1"/>
  <c r="E203" i="22" s="1"/>
  <c r="H88" i="22"/>
  <c r="F138" i="22" s="1"/>
  <c r="B89" i="22"/>
  <c r="B139" i="22" s="1"/>
  <c r="B182" i="22" s="1"/>
  <c r="C204" i="22" s="1"/>
  <c r="D233" i="22" s="1"/>
  <c r="C89" i="22"/>
  <c r="C139" i="22" s="1"/>
  <c r="C182" i="22" s="1"/>
  <c r="D204" i="22" s="1"/>
  <c r="E233" i="22" s="1"/>
  <c r="D89" i="22"/>
  <c r="D139" i="22" s="1"/>
  <c r="D182" i="22" s="1"/>
  <c r="E204" i="22" s="1"/>
  <c r="H89" i="22"/>
  <c r="F139" i="22" s="1"/>
  <c r="B90" i="22"/>
  <c r="B140" i="22" s="1"/>
  <c r="B183" i="22" s="1"/>
  <c r="C205" i="22" s="1"/>
  <c r="D234" i="22" s="1"/>
  <c r="C90" i="22"/>
  <c r="C140" i="22" s="1"/>
  <c r="C183" i="22" s="1"/>
  <c r="D205" i="22" s="1"/>
  <c r="E234" i="22" s="1"/>
  <c r="D90" i="22"/>
  <c r="D140" i="22" s="1"/>
  <c r="D183" i="22" s="1"/>
  <c r="E205" i="22" s="1"/>
  <c r="H90" i="22"/>
  <c r="F140" i="22" s="1"/>
  <c r="T13" i="37"/>
  <c r="U54" i="37"/>
  <c r="T54" i="37"/>
  <c r="U53" i="37"/>
  <c r="T53" i="37"/>
  <c r="U52" i="37"/>
  <c r="T52" i="37"/>
  <c r="U51" i="37"/>
  <c r="T51" i="37"/>
  <c r="U50" i="37"/>
  <c r="T50" i="37"/>
  <c r="U49" i="37"/>
  <c r="T49" i="37"/>
  <c r="U48" i="37"/>
  <c r="T48" i="37"/>
  <c r="U47" i="37"/>
  <c r="T47" i="37"/>
  <c r="U46" i="37"/>
  <c r="T46" i="37"/>
  <c r="U45" i="37"/>
  <c r="T45" i="37"/>
  <c r="U44" i="37"/>
  <c r="T44" i="37"/>
  <c r="U43" i="37"/>
  <c r="T43" i="37"/>
  <c r="U42" i="37"/>
  <c r="T42" i="37"/>
  <c r="U41" i="37"/>
  <c r="T41" i="37"/>
  <c r="U40" i="37"/>
  <c r="T40" i="37"/>
  <c r="U39" i="37"/>
  <c r="T39" i="37"/>
  <c r="U38" i="37"/>
  <c r="T38" i="37"/>
  <c r="U37" i="37"/>
  <c r="T37" i="37"/>
  <c r="U36" i="37"/>
  <c r="T36" i="37"/>
  <c r="U35" i="37"/>
  <c r="T35" i="37"/>
  <c r="U34" i="37"/>
  <c r="T34" i="37"/>
  <c r="U33" i="37"/>
  <c r="T33" i="37"/>
  <c r="U32" i="37"/>
  <c r="T32" i="37"/>
  <c r="U31" i="37"/>
  <c r="T31" i="37"/>
  <c r="U30" i="37"/>
  <c r="T30" i="37"/>
  <c r="U29" i="37"/>
  <c r="T29" i="37"/>
  <c r="U28" i="37"/>
  <c r="T28" i="37"/>
  <c r="U27" i="37"/>
  <c r="T27" i="37"/>
  <c r="U26" i="37"/>
  <c r="T26" i="37"/>
  <c r="U25" i="37"/>
  <c r="T25" i="37"/>
  <c r="U24" i="37"/>
  <c r="T24" i="37"/>
  <c r="U23" i="37"/>
  <c r="T23" i="37"/>
  <c r="U22" i="37"/>
  <c r="T22" i="37"/>
  <c r="U21" i="37"/>
  <c r="T21" i="37"/>
  <c r="U20" i="37"/>
  <c r="T20" i="37"/>
  <c r="U19" i="37"/>
  <c r="T19" i="37"/>
  <c r="U18" i="37"/>
  <c r="T18" i="37"/>
  <c r="U17" i="37"/>
  <c r="T17" i="37"/>
  <c r="U16" i="37"/>
  <c r="T16" i="37"/>
  <c r="U15" i="37"/>
  <c r="T15" i="37"/>
  <c r="U14" i="37"/>
  <c r="T14" i="37"/>
  <c r="U13" i="37"/>
  <c r="G87" i="22"/>
  <c r="N87" i="22" s="1"/>
  <c r="G88" i="22"/>
  <c r="I88" i="22" s="1"/>
  <c r="G89" i="22"/>
  <c r="N89" i="22" s="1"/>
  <c r="G90" i="22"/>
  <c r="N90" i="22" s="1"/>
  <c r="G86" i="22"/>
  <c r="F179" i="22" s="1"/>
  <c r="G201" i="22" s="1"/>
  <c r="F51" i="22"/>
  <c r="J51" i="22" s="1"/>
  <c r="F52" i="22"/>
  <c r="F53" i="22"/>
  <c r="F89" i="22" s="1"/>
  <c r="E139" i="22" s="1"/>
  <c r="F54" i="22"/>
  <c r="J54" i="22" s="1"/>
  <c r="J219" i="45" l="1"/>
  <c r="I219" i="45"/>
  <c r="I220" i="45"/>
  <c r="J220" i="45"/>
  <c r="K205" i="49"/>
  <c r="O105" i="52"/>
  <c r="J198" i="46"/>
  <c r="I198" i="46"/>
  <c r="G182" i="22"/>
  <c r="E296" i="22"/>
  <c r="I293" i="22"/>
  <c r="J293" i="22"/>
  <c r="I221" i="45"/>
  <c r="J221" i="45"/>
  <c r="G205" i="48"/>
  <c r="K205" i="48" s="1"/>
  <c r="G180" i="22"/>
  <c r="E294" i="22"/>
  <c r="G183" i="22"/>
  <c r="E297" i="22"/>
  <c r="G181" i="22"/>
  <c r="E295" i="22"/>
  <c r="G179" i="22"/>
  <c r="E293" i="22"/>
  <c r="K205" i="53"/>
  <c r="J206" i="52"/>
  <c r="I206" i="52"/>
  <c r="I205" i="52"/>
  <c r="J205" i="52"/>
  <c r="G147" i="52"/>
  <c r="K66" i="52"/>
  <c r="L66" i="52" s="1"/>
  <c r="I148" i="52" s="1"/>
  <c r="K136" i="52"/>
  <c r="I219" i="50"/>
  <c r="J219" i="50"/>
  <c r="J198" i="47"/>
  <c r="I198" i="47"/>
  <c r="Q61" i="42"/>
  <c r="Q67" i="42"/>
  <c r="Q60" i="42"/>
  <c r="Q79" i="42"/>
  <c r="Q66" i="42"/>
  <c r="Q76" i="42"/>
  <c r="Q70" i="42"/>
  <c r="Q64" i="42"/>
  <c r="Q73" i="42"/>
  <c r="Q72" i="42"/>
  <c r="Q75" i="42"/>
  <c r="Q63" i="42"/>
  <c r="R75" i="41"/>
  <c r="R74" i="41"/>
  <c r="R73" i="41"/>
  <c r="R81" i="41"/>
  <c r="R69" i="41"/>
  <c r="R80" i="41"/>
  <c r="R76" i="41"/>
  <c r="R70" i="41"/>
  <c r="G426" i="41"/>
  <c r="G496" i="41" s="1"/>
  <c r="R65" i="41"/>
  <c r="O109" i="45"/>
  <c r="O110" i="45"/>
  <c r="Q44" i="50"/>
  <c r="Q80" i="41"/>
  <c r="G441" i="41"/>
  <c r="G511" i="41" s="1"/>
  <c r="Q73" i="41"/>
  <c r="G434" i="41"/>
  <c r="G504" i="41" s="1"/>
  <c r="C220" i="41"/>
  <c r="C290" i="41" s="1"/>
  <c r="D339" i="41" s="1"/>
  <c r="E395" i="41" s="1"/>
  <c r="E442" i="41"/>
  <c r="C512" i="41" s="1"/>
  <c r="C219" i="41"/>
  <c r="C289" i="41" s="1"/>
  <c r="D338" i="41" s="1"/>
  <c r="E394" i="41" s="1"/>
  <c r="E441" i="41"/>
  <c r="C511" i="41" s="1"/>
  <c r="C218" i="41"/>
  <c r="C288" i="41" s="1"/>
  <c r="D337" i="41" s="1"/>
  <c r="E393" i="41" s="1"/>
  <c r="E440" i="41"/>
  <c r="C510" i="41" s="1"/>
  <c r="C217" i="41"/>
  <c r="C287" i="41" s="1"/>
  <c r="D336" i="41" s="1"/>
  <c r="E392" i="41" s="1"/>
  <c r="E439" i="41"/>
  <c r="C509" i="41" s="1"/>
  <c r="C216" i="41"/>
  <c r="C286" i="41" s="1"/>
  <c r="D335" i="41" s="1"/>
  <c r="E391" i="41" s="1"/>
  <c r="E438" i="41"/>
  <c r="C508" i="41" s="1"/>
  <c r="C215" i="41"/>
  <c r="C285" i="41" s="1"/>
  <c r="D334" i="41" s="1"/>
  <c r="E390" i="41" s="1"/>
  <c r="E437" i="41"/>
  <c r="C507" i="41" s="1"/>
  <c r="C214" i="41"/>
  <c r="C284" i="41" s="1"/>
  <c r="D333" i="41" s="1"/>
  <c r="E389" i="41" s="1"/>
  <c r="E436" i="41"/>
  <c r="C506" i="41" s="1"/>
  <c r="C213" i="41"/>
  <c r="C283" i="41" s="1"/>
  <c r="D332" i="41" s="1"/>
  <c r="E388" i="41" s="1"/>
  <c r="E435" i="41"/>
  <c r="C505" i="41" s="1"/>
  <c r="C212" i="41"/>
  <c r="C282" i="41" s="1"/>
  <c r="D331" i="41" s="1"/>
  <c r="E387" i="41" s="1"/>
  <c r="E434" i="41"/>
  <c r="C504" i="41" s="1"/>
  <c r="C211" i="41"/>
  <c r="C281" i="41" s="1"/>
  <c r="D330" i="41" s="1"/>
  <c r="E386" i="41" s="1"/>
  <c r="E433" i="41"/>
  <c r="C503" i="41" s="1"/>
  <c r="C210" i="41"/>
  <c r="C280" i="41" s="1"/>
  <c r="D329" i="41" s="1"/>
  <c r="E385" i="41" s="1"/>
  <c r="E432" i="41"/>
  <c r="C502" i="41" s="1"/>
  <c r="C209" i="41"/>
  <c r="C279" i="41" s="1"/>
  <c r="D328" i="41" s="1"/>
  <c r="E384" i="41" s="1"/>
  <c r="E431" i="41"/>
  <c r="C501" i="41" s="1"/>
  <c r="C208" i="41"/>
  <c r="C278" i="41" s="1"/>
  <c r="D327" i="41" s="1"/>
  <c r="E383" i="41" s="1"/>
  <c r="E430" i="41"/>
  <c r="C500" i="41" s="1"/>
  <c r="C207" i="41"/>
  <c r="C277" i="41" s="1"/>
  <c r="D326" i="41" s="1"/>
  <c r="E382" i="41" s="1"/>
  <c r="E429" i="41"/>
  <c r="C499" i="41" s="1"/>
  <c r="C206" i="41"/>
  <c r="C276" i="41" s="1"/>
  <c r="D325" i="41" s="1"/>
  <c r="E381" i="41" s="1"/>
  <c r="E428" i="41"/>
  <c r="C498" i="41" s="1"/>
  <c r="C205" i="41"/>
  <c r="C275" i="41" s="1"/>
  <c r="D324" i="41" s="1"/>
  <c r="E380" i="41" s="1"/>
  <c r="E427" i="41"/>
  <c r="C497" i="41" s="1"/>
  <c r="C204" i="41"/>
  <c r="C274" i="41" s="1"/>
  <c r="D323" i="41" s="1"/>
  <c r="E379" i="41" s="1"/>
  <c r="E426" i="41"/>
  <c r="C496" i="41" s="1"/>
  <c r="Q81" i="41"/>
  <c r="G442" i="41"/>
  <c r="G512" i="41" s="1"/>
  <c r="Q69" i="41"/>
  <c r="G430" i="41"/>
  <c r="G500" i="41" s="1"/>
  <c r="B220" i="41"/>
  <c r="B290" i="41" s="1"/>
  <c r="C339" i="41" s="1"/>
  <c r="D395" i="41" s="1"/>
  <c r="D442" i="41"/>
  <c r="B512" i="41" s="1"/>
  <c r="B219" i="41"/>
  <c r="B289" i="41" s="1"/>
  <c r="C338" i="41" s="1"/>
  <c r="D394" i="41" s="1"/>
  <c r="D441" i="41"/>
  <c r="B511" i="41" s="1"/>
  <c r="B218" i="41"/>
  <c r="B288" i="41" s="1"/>
  <c r="C337" i="41" s="1"/>
  <c r="D393" i="41" s="1"/>
  <c r="D440" i="41"/>
  <c r="B510" i="41" s="1"/>
  <c r="B217" i="41"/>
  <c r="B287" i="41" s="1"/>
  <c r="C336" i="41" s="1"/>
  <c r="D392" i="41" s="1"/>
  <c r="D439" i="41"/>
  <c r="B509" i="41" s="1"/>
  <c r="B216" i="41"/>
  <c r="B286" i="41" s="1"/>
  <c r="C335" i="41" s="1"/>
  <c r="D391" i="41" s="1"/>
  <c r="D438" i="41"/>
  <c r="B508" i="41" s="1"/>
  <c r="B215" i="41"/>
  <c r="B285" i="41" s="1"/>
  <c r="C334" i="41" s="1"/>
  <c r="D390" i="41" s="1"/>
  <c r="D437" i="41"/>
  <c r="B507" i="41" s="1"/>
  <c r="B214" i="41"/>
  <c r="B284" i="41" s="1"/>
  <c r="C333" i="41" s="1"/>
  <c r="D389" i="41" s="1"/>
  <c r="D436" i="41"/>
  <c r="B506" i="41" s="1"/>
  <c r="B213" i="41"/>
  <c r="B283" i="41" s="1"/>
  <c r="C332" i="41" s="1"/>
  <c r="D388" i="41" s="1"/>
  <c r="D435" i="41"/>
  <c r="B505" i="41" s="1"/>
  <c r="B212" i="41"/>
  <c r="B282" i="41" s="1"/>
  <c r="C331" i="41" s="1"/>
  <c r="D387" i="41" s="1"/>
  <c r="D434" i="41"/>
  <c r="B504" i="41" s="1"/>
  <c r="B211" i="41"/>
  <c r="B281" i="41" s="1"/>
  <c r="C330" i="41" s="1"/>
  <c r="D386" i="41" s="1"/>
  <c r="D433" i="41"/>
  <c r="B503" i="41" s="1"/>
  <c r="B210" i="41"/>
  <c r="B280" i="41" s="1"/>
  <c r="C329" i="41" s="1"/>
  <c r="D385" i="41" s="1"/>
  <c r="D432" i="41"/>
  <c r="B502" i="41" s="1"/>
  <c r="B209" i="41"/>
  <c r="B279" i="41" s="1"/>
  <c r="C328" i="41" s="1"/>
  <c r="D384" i="41" s="1"/>
  <c r="D431" i="41"/>
  <c r="B501" i="41" s="1"/>
  <c r="B208" i="41"/>
  <c r="B278" i="41" s="1"/>
  <c r="C327" i="41" s="1"/>
  <c r="D383" i="41" s="1"/>
  <c r="D430" i="41"/>
  <c r="B500" i="41" s="1"/>
  <c r="B207" i="41"/>
  <c r="B277" i="41" s="1"/>
  <c r="C326" i="41" s="1"/>
  <c r="D382" i="41" s="1"/>
  <c r="D429" i="41"/>
  <c r="B499" i="41" s="1"/>
  <c r="B206" i="41"/>
  <c r="B276" i="41" s="1"/>
  <c r="C325" i="41" s="1"/>
  <c r="D381" i="41" s="1"/>
  <c r="D428" i="41"/>
  <c r="B498" i="41" s="1"/>
  <c r="B205" i="41"/>
  <c r="B275" i="41" s="1"/>
  <c r="C324" i="41" s="1"/>
  <c r="D380" i="41" s="1"/>
  <c r="D427" i="41"/>
  <c r="B497" i="41" s="1"/>
  <c r="B204" i="41"/>
  <c r="B274" i="41" s="1"/>
  <c r="C323" i="41" s="1"/>
  <c r="D379" i="41" s="1"/>
  <c r="D426" i="41"/>
  <c r="B496" i="41" s="1"/>
  <c r="Q74" i="41"/>
  <c r="G435" i="41"/>
  <c r="G505" i="41" s="1"/>
  <c r="B203" i="41"/>
  <c r="B273" i="41" s="1"/>
  <c r="C322" i="41" s="1"/>
  <c r="D378" i="41" s="1"/>
  <c r="D425" i="41"/>
  <c r="B495" i="41" s="1"/>
  <c r="Q75" i="41"/>
  <c r="G436" i="41"/>
  <c r="G506" i="41" s="1"/>
  <c r="H426" i="41"/>
  <c r="Q76" i="41"/>
  <c r="G437" i="41"/>
  <c r="G507" i="41" s="1"/>
  <c r="Q70" i="41"/>
  <c r="G431" i="41"/>
  <c r="G501" i="41" s="1"/>
  <c r="I143" i="41"/>
  <c r="F442" i="41"/>
  <c r="F512" i="41" s="1"/>
  <c r="I142" i="41"/>
  <c r="F441" i="41"/>
  <c r="F511" i="41" s="1"/>
  <c r="N141" i="41"/>
  <c r="F440" i="41"/>
  <c r="F510" i="41" s="1"/>
  <c r="J140" i="41"/>
  <c r="F439" i="41"/>
  <c r="F509" i="41" s="1"/>
  <c r="I139" i="41"/>
  <c r="F438" i="41"/>
  <c r="F508" i="41" s="1"/>
  <c r="I138" i="41"/>
  <c r="F437" i="41"/>
  <c r="F507" i="41" s="1"/>
  <c r="I137" i="41"/>
  <c r="F436" i="41"/>
  <c r="F506" i="41" s="1"/>
  <c r="I136" i="41"/>
  <c r="F435" i="41"/>
  <c r="F505" i="41" s="1"/>
  <c r="I135" i="41"/>
  <c r="F434" i="41"/>
  <c r="F504" i="41" s="1"/>
  <c r="J134" i="41"/>
  <c r="F433" i="41"/>
  <c r="F503" i="41" s="1"/>
  <c r="I133" i="41"/>
  <c r="F432" i="41"/>
  <c r="F502" i="41" s="1"/>
  <c r="I132" i="41"/>
  <c r="F431" i="41"/>
  <c r="F501" i="41" s="1"/>
  <c r="I131" i="41"/>
  <c r="F430" i="41"/>
  <c r="F500" i="41" s="1"/>
  <c r="I130" i="41"/>
  <c r="F429" i="41"/>
  <c r="F499" i="41" s="1"/>
  <c r="I129" i="41"/>
  <c r="F428" i="41"/>
  <c r="F498" i="41" s="1"/>
  <c r="J128" i="41"/>
  <c r="F427" i="41"/>
  <c r="F497" i="41" s="1"/>
  <c r="I127" i="41"/>
  <c r="F426" i="41"/>
  <c r="F496" i="41" s="1"/>
  <c r="J65" i="41"/>
  <c r="K65" i="41" s="1"/>
  <c r="H323" i="41" s="1"/>
  <c r="G142" i="45"/>
  <c r="E219" i="45" s="1"/>
  <c r="O108" i="45"/>
  <c r="Q41" i="53"/>
  <c r="L66" i="53"/>
  <c r="I148" i="53" s="1"/>
  <c r="K65" i="52"/>
  <c r="L65" i="52" s="1"/>
  <c r="I147" i="52" s="1"/>
  <c r="H165" i="52" s="1"/>
  <c r="I165" i="52" s="1"/>
  <c r="J165" i="52" s="1"/>
  <c r="I136" i="52"/>
  <c r="O104" i="52"/>
  <c r="I137" i="52"/>
  <c r="G148" i="52"/>
  <c r="K137" i="52"/>
  <c r="Q41" i="52"/>
  <c r="G174" i="52"/>
  <c r="G205" i="52" s="1"/>
  <c r="K205" i="52" s="1"/>
  <c r="Q42" i="52"/>
  <c r="G175" i="52"/>
  <c r="G206" i="52" s="1"/>
  <c r="K206" i="52" s="1"/>
  <c r="L65" i="51"/>
  <c r="I147" i="51" s="1"/>
  <c r="Q41" i="51"/>
  <c r="L66" i="51"/>
  <c r="G105" i="51" s="1"/>
  <c r="L68" i="50"/>
  <c r="K67" i="50"/>
  <c r="L67" i="50" s="1"/>
  <c r="G189" i="50"/>
  <c r="G222" i="50" s="1"/>
  <c r="K222" i="50" s="1"/>
  <c r="O108" i="50"/>
  <c r="L70" i="50"/>
  <c r="L66" i="49"/>
  <c r="G105" i="49" s="1"/>
  <c r="G175" i="49"/>
  <c r="G206" i="49" s="1"/>
  <c r="K206" i="49" s="1"/>
  <c r="L65" i="48"/>
  <c r="G104" i="48" s="1"/>
  <c r="Q41" i="48"/>
  <c r="L66" i="48"/>
  <c r="G105" i="48" s="1"/>
  <c r="L64" i="47"/>
  <c r="I143" i="47" s="1"/>
  <c r="G168" i="46"/>
  <c r="G198" i="46" s="1"/>
  <c r="L64" i="46"/>
  <c r="G102" i="46" s="1"/>
  <c r="Q41" i="46"/>
  <c r="P43" i="45"/>
  <c r="G188" i="45" s="1"/>
  <c r="G221" i="45" s="1"/>
  <c r="P42" i="45"/>
  <c r="Q42" i="45" s="1"/>
  <c r="D38" i="45"/>
  <c r="C111" i="45"/>
  <c r="C145" i="45" s="1"/>
  <c r="D158" i="45" s="1"/>
  <c r="E178" i="45" s="1"/>
  <c r="C109" i="45"/>
  <c r="C143" i="45" s="1"/>
  <c r="D156" i="45" s="1"/>
  <c r="E176" i="45" s="1"/>
  <c r="C110" i="45"/>
  <c r="C144" i="45" s="1"/>
  <c r="D157" i="45" s="1"/>
  <c r="E177" i="45" s="1"/>
  <c r="J43" i="45"/>
  <c r="K43" i="45" s="1"/>
  <c r="H157" i="45" s="1"/>
  <c r="K145" i="44"/>
  <c r="G158" i="44"/>
  <c r="P44" i="44"/>
  <c r="F70" i="44"/>
  <c r="J44" i="44"/>
  <c r="K44" i="44" s="1"/>
  <c r="G175" i="53"/>
  <c r="G206" i="53" s="1"/>
  <c r="K206" i="53" s="1"/>
  <c r="Q42" i="53"/>
  <c r="H174" i="53"/>
  <c r="G148" i="53"/>
  <c r="I137" i="53"/>
  <c r="K137" i="53"/>
  <c r="J137" i="53"/>
  <c r="H147" i="53"/>
  <c r="H148" i="53"/>
  <c r="K136" i="53"/>
  <c r="G147" i="53"/>
  <c r="J136" i="53"/>
  <c r="I136" i="53"/>
  <c r="L65" i="53"/>
  <c r="I147" i="53" s="1"/>
  <c r="H148" i="51"/>
  <c r="J41" i="51"/>
  <c r="K41" i="51" s="1"/>
  <c r="J137" i="51"/>
  <c r="G148" i="51"/>
  <c r="K137" i="51"/>
  <c r="I137" i="51"/>
  <c r="G147" i="51"/>
  <c r="J136" i="51"/>
  <c r="I136" i="51"/>
  <c r="K136" i="51"/>
  <c r="H174" i="51"/>
  <c r="G175" i="51"/>
  <c r="G206" i="51" s="1"/>
  <c r="K206" i="51" s="1"/>
  <c r="Q42" i="51"/>
  <c r="H155" i="50"/>
  <c r="H156" i="50"/>
  <c r="G158" i="50"/>
  <c r="K145" i="50"/>
  <c r="J145" i="50"/>
  <c r="I145" i="50"/>
  <c r="G156" i="50"/>
  <c r="I143" i="50"/>
  <c r="K143" i="50"/>
  <c r="J143" i="50"/>
  <c r="G188" i="50"/>
  <c r="G221" i="50" s="1"/>
  <c r="K221" i="50" s="1"/>
  <c r="Q43" i="50"/>
  <c r="H158" i="50"/>
  <c r="H186" i="50"/>
  <c r="L69" i="50"/>
  <c r="G157" i="50"/>
  <c r="J144" i="50"/>
  <c r="I144" i="50"/>
  <c r="K144" i="50"/>
  <c r="G155" i="50"/>
  <c r="K142" i="50"/>
  <c r="J142" i="50"/>
  <c r="I142" i="50"/>
  <c r="G187" i="50"/>
  <c r="G220" i="50" s="1"/>
  <c r="K220" i="50" s="1"/>
  <c r="Q42" i="50"/>
  <c r="H157" i="50"/>
  <c r="L65" i="49"/>
  <c r="H147" i="49"/>
  <c r="H148" i="49"/>
  <c r="H174" i="49"/>
  <c r="J137" i="49"/>
  <c r="I137" i="49"/>
  <c r="K137" i="49"/>
  <c r="G148" i="49"/>
  <c r="G147" i="49"/>
  <c r="K136" i="49"/>
  <c r="J136" i="49"/>
  <c r="I136" i="49"/>
  <c r="H148" i="48"/>
  <c r="G147" i="48"/>
  <c r="J136" i="48"/>
  <c r="K136" i="48"/>
  <c r="I136" i="48"/>
  <c r="H174" i="48"/>
  <c r="G175" i="48"/>
  <c r="Q42" i="48"/>
  <c r="G148" i="48"/>
  <c r="K137" i="48"/>
  <c r="J137" i="48"/>
  <c r="I137" i="48"/>
  <c r="H147" i="48"/>
  <c r="H143" i="47"/>
  <c r="G102" i="47"/>
  <c r="G168" i="47"/>
  <c r="G198" i="47" s="1"/>
  <c r="K198" i="47" s="1"/>
  <c r="Q41" i="47"/>
  <c r="I143" i="46"/>
  <c r="H143" i="46"/>
  <c r="J133" i="46"/>
  <c r="K133" i="46"/>
  <c r="G143" i="46"/>
  <c r="I133" i="46"/>
  <c r="P41" i="45"/>
  <c r="P44" i="45"/>
  <c r="J44" i="45"/>
  <c r="K44" i="45" s="1"/>
  <c r="F187" i="45"/>
  <c r="F220" i="45" s="1"/>
  <c r="F143" i="45"/>
  <c r="J68" i="45"/>
  <c r="I68" i="45"/>
  <c r="K68" i="45" s="1"/>
  <c r="F70" i="45"/>
  <c r="E111" i="45" s="1"/>
  <c r="E145" i="45" s="1"/>
  <c r="F158" i="45" s="1"/>
  <c r="G178" i="45" s="1"/>
  <c r="D222" i="45" s="1"/>
  <c r="F188" i="45"/>
  <c r="F221" i="45" s="1"/>
  <c r="F144" i="45"/>
  <c r="J69" i="45"/>
  <c r="I69" i="45"/>
  <c r="K69" i="45" s="1"/>
  <c r="G144" i="45"/>
  <c r="E221" i="45" s="1"/>
  <c r="D186" i="45"/>
  <c r="B219" i="45" s="1"/>
  <c r="B108" i="45"/>
  <c r="B142" i="45" s="1"/>
  <c r="C155" i="45" s="1"/>
  <c r="D175" i="45" s="1"/>
  <c r="G143" i="45"/>
  <c r="E220" i="45" s="1"/>
  <c r="N69" i="45"/>
  <c r="F189" i="45"/>
  <c r="F222" i="45" s="1"/>
  <c r="F145" i="45"/>
  <c r="J70" i="45"/>
  <c r="I70" i="45"/>
  <c r="F186" i="45"/>
  <c r="F219" i="45" s="1"/>
  <c r="F142" i="45"/>
  <c r="J67" i="45"/>
  <c r="I67" i="45"/>
  <c r="K67" i="45" s="1"/>
  <c r="L67" i="45" s="1"/>
  <c r="J42" i="45"/>
  <c r="K42" i="45" s="1"/>
  <c r="N68" i="45"/>
  <c r="G145" i="45"/>
  <c r="E222" i="45" s="1"/>
  <c r="B109" i="45"/>
  <c r="B143" i="45" s="1"/>
  <c r="C156" i="45" s="1"/>
  <c r="D176" i="45" s="1"/>
  <c r="D189" i="45"/>
  <c r="B222" i="45" s="1"/>
  <c r="B111" i="45"/>
  <c r="B145" i="45" s="1"/>
  <c r="C158" i="45" s="1"/>
  <c r="D178" i="45" s="1"/>
  <c r="C108" i="45"/>
  <c r="C142" i="45" s="1"/>
  <c r="D155" i="45" s="1"/>
  <c r="E175" i="45" s="1"/>
  <c r="B110" i="45"/>
  <c r="B144" i="45" s="1"/>
  <c r="C157" i="45" s="1"/>
  <c r="D177" i="45" s="1"/>
  <c r="N67" i="44"/>
  <c r="F68" i="44"/>
  <c r="E109" i="44" s="1"/>
  <c r="E143" i="44" s="1"/>
  <c r="F156" i="44" s="1"/>
  <c r="G176" i="44" s="1"/>
  <c r="D221" i="44" s="1"/>
  <c r="P42" i="44"/>
  <c r="G142" i="44"/>
  <c r="E220" i="44" s="1"/>
  <c r="E188" i="44"/>
  <c r="C222" i="44" s="1"/>
  <c r="C110" i="44"/>
  <c r="C144" i="44" s="1"/>
  <c r="D157" i="44" s="1"/>
  <c r="D186" i="44"/>
  <c r="B220" i="44" s="1"/>
  <c r="B108" i="44"/>
  <c r="B142" i="44" s="1"/>
  <c r="C155" i="44" s="1"/>
  <c r="D175" i="44" s="1"/>
  <c r="F187" i="44"/>
  <c r="F221" i="44" s="1"/>
  <c r="F143" i="44"/>
  <c r="J68" i="44"/>
  <c r="D187" i="44"/>
  <c r="B221" i="44" s="1"/>
  <c r="B109" i="44"/>
  <c r="B143" i="44" s="1"/>
  <c r="C156" i="44" s="1"/>
  <c r="D176" i="44" s="1"/>
  <c r="I68" i="44"/>
  <c r="F67" i="44"/>
  <c r="E108" i="44" s="1"/>
  <c r="E142" i="44" s="1"/>
  <c r="F155" i="44" s="1"/>
  <c r="G175" i="44" s="1"/>
  <c r="D220" i="44" s="1"/>
  <c r="E186" i="44"/>
  <c r="C220" i="44" s="1"/>
  <c r="C108" i="44"/>
  <c r="C142" i="44" s="1"/>
  <c r="D155" i="44" s="1"/>
  <c r="G143" i="44"/>
  <c r="E221" i="44" s="1"/>
  <c r="F69" i="44"/>
  <c r="E110" i="44" s="1"/>
  <c r="E144" i="44" s="1"/>
  <c r="F157" i="44" s="1"/>
  <c r="G177" i="44" s="1"/>
  <c r="D222" i="44" s="1"/>
  <c r="P43" i="44"/>
  <c r="E187" i="44"/>
  <c r="C221" i="44" s="1"/>
  <c r="C109" i="44"/>
  <c r="C143" i="44" s="1"/>
  <c r="D156" i="44" s="1"/>
  <c r="N68" i="44"/>
  <c r="G144" i="44"/>
  <c r="E222" i="44" s="1"/>
  <c r="F186" i="44"/>
  <c r="F220" i="44" s="1"/>
  <c r="F142" i="44"/>
  <c r="J67" i="44"/>
  <c r="F188" i="44"/>
  <c r="F222" i="44" s="1"/>
  <c r="F144" i="44"/>
  <c r="N69" i="44"/>
  <c r="D188" i="44"/>
  <c r="B222" i="44" s="1"/>
  <c r="B110" i="44"/>
  <c r="B144" i="44" s="1"/>
  <c r="C157" i="44" s="1"/>
  <c r="D177" i="44" s="1"/>
  <c r="J69" i="44"/>
  <c r="D37" i="44"/>
  <c r="F254" i="22"/>
  <c r="F297" i="22" s="1"/>
  <c r="F253" i="22"/>
  <c r="F296" i="22" s="1"/>
  <c r="F252" i="22"/>
  <c r="F295" i="22" s="1"/>
  <c r="F251" i="22"/>
  <c r="F294" i="22" s="1"/>
  <c r="F250" i="22"/>
  <c r="F293" i="22" s="1"/>
  <c r="E254" i="22"/>
  <c r="C297" i="22" s="1"/>
  <c r="E253" i="22"/>
  <c r="C296" i="22" s="1"/>
  <c r="E252" i="22"/>
  <c r="C295" i="22" s="1"/>
  <c r="E251" i="22"/>
  <c r="C294" i="22" s="1"/>
  <c r="E250" i="22"/>
  <c r="C293" i="22" s="1"/>
  <c r="D254" i="22"/>
  <c r="B297" i="22" s="1"/>
  <c r="D253" i="22"/>
  <c r="B296" i="22" s="1"/>
  <c r="D252" i="22"/>
  <c r="B295" i="22" s="1"/>
  <c r="D251" i="22"/>
  <c r="B294" i="22" s="1"/>
  <c r="D250" i="22"/>
  <c r="B293" i="22" s="1"/>
  <c r="D249" i="22"/>
  <c r="B292" i="22" s="1"/>
  <c r="J52" i="22"/>
  <c r="K52" i="22" s="1"/>
  <c r="G428" i="42"/>
  <c r="G496" i="42" s="1"/>
  <c r="F428" i="42"/>
  <c r="F496" i="42" s="1"/>
  <c r="F427" i="42"/>
  <c r="F495" i="42" s="1"/>
  <c r="F426" i="42"/>
  <c r="F494" i="42" s="1"/>
  <c r="E428" i="42"/>
  <c r="C496" i="42" s="1"/>
  <c r="E427" i="42"/>
  <c r="C495" i="42" s="1"/>
  <c r="E426" i="42"/>
  <c r="C494" i="42" s="1"/>
  <c r="D428" i="42"/>
  <c r="B496" i="42" s="1"/>
  <c r="D427" i="42"/>
  <c r="B495" i="42" s="1"/>
  <c r="D426" i="42"/>
  <c r="B494" i="42" s="1"/>
  <c r="D418" i="42"/>
  <c r="B486" i="42" s="1"/>
  <c r="D414" i="42"/>
  <c r="B482" i="42" s="1"/>
  <c r="D410" i="42"/>
  <c r="B478" i="42" s="1"/>
  <c r="D417" i="42"/>
  <c r="B485" i="42" s="1"/>
  <c r="D413" i="42"/>
  <c r="B481" i="42" s="1"/>
  <c r="D409" i="42"/>
  <c r="B477" i="42" s="1"/>
  <c r="D412" i="42"/>
  <c r="B480" i="42" s="1"/>
  <c r="G416" i="42"/>
  <c r="G484" i="42" s="1"/>
  <c r="D411" i="42"/>
  <c r="B479" i="42" s="1"/>
  <c r="D416" i="42"/>
  <c r="B484" i="42" s="1"/>
  <c r="G422" i="42"/>
  <c r="G490" i="42" s="1"/>
  <c r="D415" i="42"/>
  <c r="B483" i="42" s="1"/>
  <c r="G410" i="42"/>
  <c r="G478" i="42" s="1"/>
  <c r="G425" i="42"/>
  <c r="G493" i="42" s="1"/>
  <c r="G424" i="42"/>
  <c r="G492" i="42" s="1"/>
  <c r="G421" i="42"/>
  <c r="G489" i="42" s="1"/>
  <c r="G419" i="42"/>
  <c r="G487" i="42" s="1"/>
  <c r="G415" i="42"/>
  <c r="G483" i="42" s="1"/>
  <c r="G413" i="42"/>
  <c r="G481" i="42" s="1"/>
  <c r="G412" i="42"/>
  <c r="G480" i="42" s="1"/>
  <c r="G409" i="42"/>
  <c r="G477" i="42" s="1"/>
  <c r="F425" i="42"/>
  <c r="F493" i="42" s="1"/>
  <c r="F424" i="42"/>
  <c r="F492" i="42" s="1"/>
  <c r="F423" i="42"/>
  <c r="F491" i="42" s="1"/>
  <c r="F422" i="42"/>
  <c r="F490" i="42" s="1"/>
  <c r="F421" i="42"/>
  <c r="F489" i="42" s="1"/>
  <c r="F420" i="42"/>
  <c r="F488" i="42" s="1"/>
  <c r="F419" i="42"/>
  <c r="F487" i="42" s="1"/>
  <c r="F418" i="42"/>
  <c r="F486" i="42" s="1"/>
  <c r="F417" i="42"/>
  <c r="F485" i="42" s="1"/>
  <c r="F416" i="42"/>
  <c r="F484" i="42" s="1"/>
  <c r="F415" i="42"/>
  <c r="F483" i="42" s="1"/>
  <c r="F414" i="42"/>
  <c r="F482" i="42" s="1"/>
  <c r="F413" i="42"/>
  <c r="F481" i="42" s="1"/>
  <c r="F412" i="42"/>
  <c r="F480" i="42" s="1"/>
  <c r="F411" i="42"/>
  <c r="F479" i="42" s="1"/>
  <c r="F410" i="42"/>
  <c r="F478" i="42" s="1"/>
  <c r="F409" i="42"/>
  <c r="F477" i="42" s="1"/>
  <c r="E425" i="42"/>
  <c r="C493" i="42" s="1"/>
  <c r="E424" i="42"/>
  <c r="C492" i="42" s="1"/>
  <c r="E423" i="42"/>
  <c r="C491" i="42" s="1"/>
  <c r="E422" i="42"/>
  <c r="C490" i="42" s="1"/>
  <c r="E421" i="42"/>
  <c r="C489" i="42" s="1"/>
  <c r="E420" i="42"/>
  <c r="C488" i="42" s="1"/>
  <c r="E419" i="42"/>
  <c r="C487" i="42" s="1"/>
  <c r="E418" i="42"/>
  <c r="C486" i="42" s="1"/>
  <c r="E417" i="42"/>
  <c r="C485" i="42" s="1"/>
  <c r="E416" i="42"/>
  <c r="C484" i="42" s="1"/>
  <c r="E415" i="42"/>
  <c r="C483" i="42" s="1"/>
  <c r="E414" i="42"/>
  <c r="C482" i="42" s="1"/>
  <c r="E413" i="42"/>
  <c r="C481" i="42" s="1"/>
  <c r="E412" i="42"/>
  <c r="C480" i="42" s="1"/>
  <c r="E411" i="42"/>
  <c r="C479" i="42" s="1"/>
  <c r="E410" i="42"/>
  <c r="C478" i="42" s="1"/>
  <c r="E409" i="42"/>
  <c r="C477" i="42" s="1"/>
  <c r="D425" i="42"/>
  <c r="B493" i="42" s="1"/>
  <c r="D424" i="42"/>
  <c r="B492" i="42" s="1"/>
  <c r="D423" i="42"/>
  <c r="B491" i="42" s="1"/>
  <c r="D422" i="42"/>
  <c r="B490" i="42" s="1"/>
  <c r="D421" i="42"/>
  <c r="B489" i="42" s="1"/>
  <c r="D420" i="42"/>
  <c r="B488" i="42" s="1"/>
  <c r="D419" i="42"/>
  <c r="B487" i="42" s="1"/>
  <c r="D408" i="42"/>
  <c r="B476" i="42" s="1"/>
  <c r="F275" i="42"/>
  <c r="J275" i="42" s="1"/>
  <c r="F282" i="42"/>
  <c r="F270" i="42"/>
  <c r="F281" i="42"/>
  <c r="F269" i="42"/>
  <c r="F276" i="42"/>
  <c r="F278" i="42"/>
  <c r="F272" i="42"/>
  <c r="F266" i="42"/>
  <c r="F263" i="42"/>
  <c r="F280" i="42"/>
  <c r="F274" i="42"/>
  <c r="F268" i="42"/>
  <c r="F279" i="42"/>
  <c r="F277" i="42"/>
  <c r="G324" i="42" s="1"/>
  <c r="F273" i="42"/>
  <c r="F271" i="42"/>
  <c r="G318" i="42" s="1"/>
  <c r="F267" i="42"/>
  <c r="F265" i="42"/>
  <c r="G312" i="42" s="1"/>
  <c r="F264" i="42"/>
  <c r="I134" i="42"/>
  <c r="I129" i="42"/>
  <c r="I122" i="42"/>
  <c r="P77" i="42"/>
  <c r="J134" i="42"/>
  <c r="N137" i="42"/>
  <c r="J130" i="42"/>
  <c r="N131" i="42"/>
  <c r="F130" i="42"/>
  <c r="P62" i="42"/>
  <c r="N125" i="42"/>
  <c r="F123" i="42"/>
  <c r="I121" i="42"/>
  <c r="N136" i="42"/>
  <c r="N130" i="42"/>
  <c r="N124" i="42"/>
  <c r="I127" i="42"/>
  <c r="N135" i="42"/>
  <c r="N129" i="42"/>
  <c r="N123" i="42"/>
  <c r="P78" i="42"/>
  <c r="F128" i="42"/>
  <c r="J123" i="42"/>
  <c r="N128" i="42"/>
  <c r="N122" i="42"/>
  <c r="J136" i="42"/>
  <c r="F134" i="42"/>
  <c r="F120" i="42"/>
  <c r="E195" i="42" s="1"/>
  <c r="N139" i="42"/>
  <c r="N133" i="42"/>
  <c r="N127" i="42"/>
  <c r="N121" i="42"/>
  <c r="I135" i="42"/>
  <c r="N138" i="42"/>
  <c r="N132" i="42"/>
  <c r="N126" i="42"/>
  <c r="N120" i="42"/>
  <c r="F138" i="42"/>
  <c r="F133" i="42"/>
  <c r="E208" i="42" s="1"/>
  <c r="F124" i="42"/>
  <c r="P71" i="42"/>
  <c r="F137" i="42"/>
  <c r="F135" i="42"/>
  <c r="E210" i="42" s="1"/>
  <c r="F132" i="42"/>
  <c r="J128" i="42"/>
  <c r="F127" i="42"/>
  <c r="F122" i="42"/>
  <c r="P65" i="42"/>
  <c r="I139" i="42"/>
  <c r="F131" i="42"/>
  <c r="F129" i="42"/>
  <c r="F126" i="42"/>
  <c r="J124" i="42"/>
  <c r="F139" i="42"/>
  <c r="E214" i="42" s="1"/>
  <c r="F136" i="42"/>
  <c r="I133" i="42"/>
  <c r="F125" i="42"/>
  <c r="F121" i="42"/>
  <c r="E196" i="42" s="1"/>
  <c r="J137" i="42"/>
  <c r="J131" i="42"/>
  <c r="J125" i="42"/>
  <c r="J138" i="42"/>
  <c r="J132" i="42"/>
  <c r="J126" i="42"/>
  <c r="J120" i="42"/>
  <c r="P74" i="42"/>
  <c r="P68" i="42"/>
  <c r="J63" i="42"/>
  <c r="K63" i="42" s="1"/>
  <c r="H313" i="42" s="1"/>
  <c r="P69" i="42"/>
  <c r="J75" i="42"/>
  <c r="K75" i="42" s="1"/>
  <c r="H325" i="42" s="1"/>
  <c r="J79" i="42"/>
  <c r="K79" i="42" s="1"/>
  <c r="H329" i="42" s="1"/>
  <c r="J73" i="42"/>
  <c r="K73" i="42" s="1"/>
  <c r="H323" i="42" s="1"/>
  <c r="J67" i="42"/>
  <c r="K67" i="42" s="1"/>
  <c r="H317" i="42" s="1"/>
  <c r="J61" i="42"/>
  <c r="K61" i="42" s="1"/>
  <c r="H311" i="42" s="1"/>
  <c r="J72" i="42"/>
  <c r="K72" i="42" s="1"/>
  <c r="H322" i="42" s="1"/>
  <c r="J66" i="42"/>
  <c r="K66" i="42" s="1"/>
  <c r="H316" i="42" s="1"/>
  <c r="J60" i="42"/>
  <c r="K60" i="42" s="1"/>
  <c r="H310" i="42" s="1"/>
  <c r="J76" i="42"/>
  <c r="K76" i="42" s="1"/>
  <c r="H326" i="42" s="1"/>
  <c r="J70" i="42"/>
  <c r="K70" i="42" s="1"/>
  <c r="H320" i="42" s="1"/>
  <c r="J64" i="42"/>
  <c r="K64" i="42" s="1"/>
  <c r="H314" i="42" s="1"/>
  <c r="F289" i="41"/>
  <c r="K289" i="41" s="1"/>
  <c r="F279" i="41"/>
  <c r="K279" i="41" s="1"/>
  <c r="F287" i="41"/>
  <c r="F274" i="41"/>
  <c r="F278" i="41"/>
  <c r="F276" i="41"/>
  <c r="G325" i="41" s="1"/>
  <c r="F283" i="41"/>
  <c r="G332" i="41" s="1"/>
  <c r="F281" i="41"/>
  <c r="G330" i="41" s="1"/>
  <c r="F290" i="41"/>
  <c r="F288" i="41"/>
  <c r="G337" i="41" s="1"/>
  <c r="F286" i="41"/>
  <c r="G335" i="41" s="1"/>
  <c r="F285" i="41"/>
  <c r="G334" i="41" s="1"/>
  <c r="F277" i="41"/>
  <c r="G326" i="41" s="1"/>
  <c r="F284" i="41"/>
  <c r="G333" i="41" s="1"/>
  <c r="F282" i="41"/>
  <c r="G331" i="41" s="1"/>
  <c r="F280" i="41"/>
  <c r="G329" i="41" s="1"/>
  <c r="F275" i="41"/>
  <c r="G324" i="41" s="1"/>
  <c r="I140" i="41"/>
  <c r="J141" i="41"/>
  <c r="J131" i="41"/>
  <c r="J137" i="41"/>
  <c r="F128" i="41"/>
  <c r="E205" i="41" s="1"/>
  <c r="N137" i="41"/>
  <c r="F140" i="41"/>
  <c r="N132" i="41"/>
  <c r="J135" i="41"/>
  <c r="N131" i="41"/>
  <c r="N143" i="41"/>
  <c r="F142" i="41"/>
  <c r="I141" i="41"/>
  <c r="N142" i="41"/>
  <c r="N136" i="41"/>
  <c r="N130" i="41"/>
  <c r="N135" i="41"/>
  <c r="N129" i="41"/>
  <c r="J143" i="41"/>
  <c r="F134" i="41"/>
  <c r="E211" i="41" s="1"/>
  <c r="J129" i="41"/>
  <c r="N140" i="41"/>
  <c r="N134" i="41"/>
  <c r="N128" i="41"/>
  <c r="N138" i="41"/>
  <c r="P68" i="41"/>
  <c r="Q65" i="41"/>
  <c r="N139" i="41"/>
  <c r="N133" i="41"/>
  <c r="N127" i="41"/>
  <c r="F139" i="41"/>
  <c r="F133" i="41"/>
  <c r="E210" i="41" s="1"/>
  <c r="F127" i="41"/>
  <c r="F138" i="41"/>
  <c r="F136" i="41"/>
  <c r="F132" i="41"/>
  <c r="F130" i="41"/>
  <c r="F143" i="41"/>
  <c r="J142" i="41"/>
  <c r="P71" i="41"/>
  <c r="F141" i="41"/>
  <c r="J136" i="41"/>
  <c r="J130" i="41"/>
  <c r="F137" i="41"/>
  <c r="F135" i="41"/>
  <c r="F131" i="41"/>
  <c r="F129" i="41"/>
  <c r="I134" i="41"/>
  <c r="I128" i="41"/>
  <c r="J138" i="41"/>
  <c r="J132" i="41"/>
  <c r="J139" i="41"/>
  <c r="J133" i="41"/>
  <c r="J127" i="41"/>
  <c r="P79" i="41"/>
  <c r="P77" i="41"/>
  <c r="P78" i="41"/>
  <c r="P67" i="41"/>
  <c r="P66" i="41"/>
  <c r="J76" i="41"/>
  <c r="K76" i="41" s="1"/>
  <c r="H334" i="41" s="1"/>
  <c r="K66" i="41"/>
  <c r="H324" i="41" s="1"/>
  <c r="J73" i="41"/>
  <c r="K73" i="41" s="1"/>
  <c r="H331" i="41" s="1"/>
  <c r="J70" i="41"/>
  <c r="K70" i="41" s="1"/>
  <c r="H328" i="41" s="1"/>
  <c r="P72" i="41"/>
  <c r="J81" i="41"/>
  <c r="K81" i="41" s="1"/>
  <c r="H339" i="41" s="1"/>
  <c r="J75" i="41"/>
  <c r="K75" i="41" s="1"/>
  <c r="H333" i="41" s="1"/>
  <c r="J80" i="41"/>
  <c r="K80" i="41" s="1"/>
  <c r="H338" i="41" s="1"/>
  <c r="J74" i="41"/>
  <c r="K74" i="41" s="1"/>
  <c r="H332" i="41" s="1"/>
  <c r="J69" i="41"/>
  <c r="K69" i="41" s="1"/>
  <c r="H327" i="41" s="1"/>
  <c r="O139" i="22"/>
  <c r="F181" i="22"/>
  <c r="J181" i="22" s="1"/>
  <c r="F183" i="22"/>
  <c r="K183" i="22" s="1"/>
  <c r="I179" i="22"/>
  <c r="F182" i="22"/>
  <c r="G204" i="22" s="1"/>
  <c r="F180" i="22"/>
  <c r="G202" i="22" s="1"/>
  <c r="E182" i="22"/>
  <c r="F204" i="22" s="1"/>
  <c r="G233" i="22" s="1"/>
  <c r="D296" i="22" s="1"/>
  <c r="K179" i="22"/>
  <c r="J179" i="22"/>
  <c r="O136" i="22"/>
  <c r="I86" i="22"/>
  <c r="K86" i="22" s="1"/>
  <c r="N86" i="22"/>
  <c r="N88" i="22"/>
  <c r="I90" i="22"/>
  <c r="J90" i="22"/>
  <c r="J87" i="22"/>
  <c r="I87" i="22"/>
  <c r="J89" i="22"/>
  <c r="I89" i="22"/>
  <c r="K89" i="22" s="1"/>
  <c r="L89" i="22" s="1"/>
  <c r="F90" i="22"/>
  <c r="E140" i="22" s="1"/>
  <c r="J86" i="22"/>
  <c r="F88" i="22"/>
  <c r="E138" i="22" s="1"/>
  <c r="F87" i="22"/>
  <c r="J88" i="22"/>
  <c r="J50" i="22"/>
  <c r="K50" i="22" s="1"/>
  <c r="P52" i="22"/>
  <c r="J53" i="22"/>
  <c r="K53" i="22" s="1"/>
  <c r="P51" i="22"/>
  <c r="P50" i="22"/>
  <c r="K54" i="22"/>
  <c r="K51" i="22"/>
  <c r="P54" i="22"/>
  <c r="P53" i="22"/>
  <c r="F362" i="42"/>
  <c r="F361" i="42"/>
  <c r="F360" i="42"/>
  <c r="F359" i="42"/>
  <c r="F358" i="42"/>
  <c r="F357" i="42"/>
  <c r="F356" i="42"/>
  <c r="F355" i="42"/>
  <c r="F354" i="42"/>
  <c r="F353" i="42"/>
  <c r="F352" i="42"/>
  <c r="F351" i="42"/>
  <c r="F350" i="42"/>
  <c r="F349" i="42"/>
  <c r="F348" i="42"/>
  <c r="F347" i="42"/>
  <c r="F346" i="42"/>
  <c r="F345" i="42"/>
  <c r="E345" i="42"/>
  <c r="D345" i="42"/>
  <c r="D291" i="42"/>
  <c r="C291" i="42"/>
  <c r="C243" i="42"/>
  <c r="B243" i="42"/>
  <c r="G239" i="42"/>
  <c r="N193" i="42"/>
  <c r="N192" i="42"/>
  <c r="N191" i="42"/>
  <c r="N190" i="42"/>
  <c r="N189" i="42"/>
  <c r="N188" i="42"/>
  <c r="N187" i="42"/>
  <c r="N186" i="42"/>
  <c r="N185" i="42"/>
  <c r="N184" i="42"/>
  <c r="N183" i="42"/>
  <c r="N182" i="42"/>
  <c r="N181" i="42"/>
  <c r="N180" i="42"/>
  <c r="N179" i="42"/>
  <c r="N178" i="42"/>
  <c r="N177" i="42"/>
  <c r="F176" i="42"/>
  <c r="C176" i="42"/>
  <c r="B176" i="42"/>
  <c r="D172" i="42"/>
  <c r="D173" i="42" s="1"/>
  <c r="F240" i="42" s="1"/>
  <c r="D170" i="42"/>
  <c r="D171" i="42" s="1"/>
  <c r="F239" i="42" s="1"/>
  <c r="H118" i="42"/>
  <c r="F193" i="42" s="1"/>
  <c r="G118" i="42"/>
  <c r="J118" i="42" s="1"/>
  <c r="E118" i="42"/>
  <c r="D118" i="42"/>
  <c r="D193" i="42" s="1"/>
  <c r="D261" i="42" s="1"/>
  <c r="E308" i="42" s="1"/>
  <c r="C118" i="42"/>
  <c r="B118" i="42"/>
  <c r="H117" i="42"/>
  <c r="F192" i="42" s="1"/>
  <c r="G117" i="42"/>
  <c r="J117" i="42" s="1"/>
  <c r="E117" i="42"/>
  <c r="D117" i="42"/>
  <c r="D192" i="42" s="1"/>
  <c r="D260" i="42" s="1"/>
  <c r="E307" i="42" s="1"/>
  <c r="C117" i="42"/>
  <c r="E406" i="42" s="1"/>
  <c r="C474" i="42" s="1"/>
  <c r="B117" i="42"/>
  <c r="H116" i="42"/>
  <c r="F191" i="42" s="1"/>
  <c r="G116" i="42"/>
  <c r="F405" i="42" s="1"/>
  <c r="F473" i="42" s="1"/>
  <c r="E116" i="42"/>
  <c r="D116" i="42"/>
  <c r="D191" i="42" s="1"/>
  <c r="D259" i="42" s="1"/>
  <c r="E306" i="42" s="1"/>
  <c r="C116" i="42"/>
  <c r="E405" i="42" s="1"/>
  <c r="C473" i="42" s="1"/>
  <c r="B116" i="42"/>
  <c r="H115" i="42"/>
  <c r="F190" i="42" s="1"/>
  <c r="G115" i="42"/>
  <c r="J115" i="42" s="1"/>
  <c r="E115" i="42"/>
  <c r="D115" i="42"/>
  <c r="D190" i="42" s="1"/>
  <c r="D258" i="42" s="1"/>
  <c r="E305" i="42" s="1"/>
  <c r="C115" i="42"/>
  <c r="B115" i="42"/>
  <c r="D404" i="42" s="1"/>
  <c r="B472" i="42" s="1"/>
  <c r="H114" i="42"/>
  <c r="F189" i="42" s="1"/>
  <c r="G114" i="42"/>
  <c r="J114" i="42" s="1"/>
  <c r="E114" i="42"/>
  <c r="D114" i="42"/>
  <c r="D189" i="42" s="1"/>
  <c r="D257" i="42" s="1"/>
  <c r="E304" i="42" s="1"/>
  <c r="C114" i="42"/>
  <c r="B114" i="42"/>
  <c r="H113" i="42"/>
  <c r="F188" i="42" s="1"/>
  <c r="G113" i="42"/>
  <c r="J113" i="42" s="1"/>
  <c r="E113" i="42"/>
  <c r="D113" i="42"/>
  <c r="D188" i="42" s="1"/>
  <c r="D256" i="42" s="1"/>
  <c r="E303" i="42" s="1"/>
  <c r="C113" i="42"/>
  <c r="B113" i="42"/>
  <c r="H112" i="42"/>
  <c r="F187" i="42" s="1"/>
  <c r="G112" i="42"/>
  <c r="J112" i="42" s="1"/>
  <c r="E112" i="42"/>
  <c r="D112" i="42"/>
  <c r="D187" i="42" s="1"/>
  <c r="D255" i="42" s="1"/>
  <c r="E302" i="42" s="1"/>
  <c r="C112" i="42"/>
  <c r="B112" i="42"/>
  <c r="D401" i="42" s="1"/>
  <c r="B469" i="42" s="1"/>
  <c r="H111" i="42"/>
  <c r="F186" i="42" s="1"/>
  <c r="G111" i="42"/>
  <c r="J111" i="42" s="1"/>
  <c r="E111" i="42"/>
  <c r="D111" i="42"/>
  <c r="D186" i="42" s="1"/>
  <c r="D254" i="42" s="1"/>
  <c r="E301" i="42" s="1"/>
  <c r="C111" i="42"/>
  <c r="B111" i="42"/>
  <c r="H110" i="42"/>
  <c r="F185" i="42" s="1"/>
  <c r="G110" i="42"/>
  <c r="J110" i="42" s="1"/>
  <c r="E110" i="42"/>
  <c r="D110" i="42"/>
  <c r="D185" i="42" s="1"/>
  <c r="D253" i="42" s="1"/>
  <c r="E300" i="42" s="1"/>
  <c r="C110" i="42"/>
  <c r="B110" i="42"/>
  <c r="D399" i="42" s="1"/>
  <c r="B467" i="42" s="1"/>
  <c r="H109" i="42"/>
  <c r="F184" i="42" s="1"/>
  <c r="G109" i="42"/>
  <c r="J109" i="42" s="1"/>
  <c r="E109" i="42"/>
  <c r="D109" i="42"/>
  <c r="D184" i="42" s="1"/>
  <c r="D252" i="42" s="1"/>
  <c r="E299" i="42" s="1"/>
  <c r="C109" i="42"/>
  <c r="B109" i="42"/>
  <c r="B184" i="42" s="1"/>
  <c r="B252" i="42" s="1"/>
  <c r="C299" i="42" s="1"/>
  <c r="D353" i="42" s="1"/>
  <c r="H108" i="42"/>
  <c r="F183" i="42" s="1"/>
  <c r="G251" i="42" s="1"/>
  <c r="E465" i="42" s="1"/>
  <c r="G108" i="42"/>
  <c r="J108" i="42" s="1"/>
  <c r="E108" i="42"/>
  <c r="D108" i="42"/>
  <c r="D183" i="42" s="1"/>
  <c r="D251" i="42" s="1"/>
  <c r="E298" i="42" s="1"/>
  <c r="C108" i="42"/>
  <c r="B108" i="42"/>
  <c r="D397" i="42" s="1"/>
  <c r="B465" i="42" s="1"/>
  <c r="H107" i="42"/>
  <c r="F182" i="42" s="1"/>
  <c r="G107" i="42"/>
  <c r="J107" i="42" s="1"/>
  <c r="E107" i="42"/>
  <c r="D107" i="42"/>
  <c r="D182" i="42" s="1"/>
  <c r="D250" i="42" s="1"/>
  <c r="E297" i="42" s="1"/>
  <c r="C107" i="42"/>
  <c r="B107" i="42"/>
  <c r="H106" i="42"/>
  <c r="F181" i="42" s="1"/>
  <c r="G106" i="42"/>
  <c r="J106" i="42" s="1"/>
  <c r="E106" i="42"/>
  <c r="D106" i="42"/>
  <c r="D181" i="42" s="1"/>
  <c r="D249" i="42" s="1"/>
  <c r="E296" i="42" s="1"/>
  <c r="C106" i="42"/>
  <c r="E395" i="42" s="1"/>
  <c r="C463" i="42" s="1"/>
  <c r="B106" i="42"/>
  <c r="D395" i="42" s="1"/>
  <c r="B463" i="42" s="1"/>
  <c r="H105" i="42"/>
  <c r="F180" i="42" s="1"/>
  <c r="G105" i="42"/>
  <c r="J105" i="42" s="1"/>
  <c r="E105" i="42"/>
  <c r="D105" i="42"/>
  <c r="D180" i="42" s="1"/>
  <c r="D248" i="42" s="1"/>
  <c r="E295" i="42" s="1"/>
  <c r="C105" i="42"/>
  <c r="B105" i="42"/>
  <c r="H104" i="42"/>
  <c r="F179" i="42" s="1"/>
  <c r="G104" i="42"/>
  <c r="I104" i="42" s="1"/>
  <c r="E104" i="42"/>
  <c r="D104" i="42"/>
  <c r="D179" i="42" s="1"/>
  <c r="D247" i="42" s="1"/>
  <c r="E294" i="42" s="1"/>
  <c r="C104" i="42"/>
  <c r="E393" i="42" s="1"/>
  <c r="C461" i="42" s="1"/>
  <c r="B104" i="42"/>
  <c r="D393" i="42" s="1"/>
  <c r="B461" i="42" s="1"/>
  <c r="H103" i="42"/>
  <c r="F178" i="42" s="1"/>
  <c r="G246" i="42" s="1"/>
  <c r="E460" i="42" s="1"/>
  <c r="G103" i="42"/>
  <c r="J103" i="42" s="1"/>
  <c r="E103" i="42"/>
  <c r="D103" i="42"/>
  <c r="D178" i="42" s="1"/>
  <c r="D246" i="42" s="1"/>
  <c r="E293" i="42" s="1"/>
  <c r="C103" i="42"/>
  <c r="E392" i="42" s="1"/>
  <c r="C460" i="42" s="1"/>
  <c r="B103" i="42"/>
  <c r="H102" i="42"/>
  <c r="F177" i="42" s="1"/>
  <c r="G102" i="42"/>
  <c r="J102" i="42" s="1"/>
  <c r="E102" i="42"/>
  <c r="D102" i="42"/>
  <c r="D177" i="42" s="1"/>
  <c r="D245" i="42" s="1"/>
  <c r="E292" i="42" s="1"/>
  <c r="C102" i="42"/>
  <c r="E391" i="42" s="1"/>
  <c r="C459" i="42" s="1"/>
  <c r="B102" i="42"/>
  <c r="D391" i="42" s="1"/>
  <c r="B459" i="42" s="1"/>
  <c r="C101" i="42"/>
  <c r="B101" i="42"/>
  <c r="F58" i="42"/>
  <c r="F118" i="42" s="1"/>
  <c r="E193" i="42" s="1"/>
  <c r="E261" i="42" s="1"/>
  <c r="F308" i="42" s="1"/>
  <c r="G362" i="42" s="1"/>
  <c r="D475" i="42" s="1"/>
  <c r="F57" i="42"/>
  <c r="F117" i="42" s="1"/>
  <c r="E192" i="42" s="1"/>
  <c r="E260" i="42" s="1"/>
  <c r="F307" i="42" s="1"/>
  <c r="G361" i="42" s="1"/>
  <c r="D474" i="42" s="1"/>
  <c r="F56" i="42"/>
  <c r="F116" i="42" s="1"/>
  <c r="E191" i="42" s="1"/>
  <c r="E259" i="42" s="1"/>
  <c r="F306" i="42" s="1"/>
  <c r="G360" i="42" s="1"/>
  <c r="D473" i="42" s="1"/>
  <c r="F55" i="42"/>
  <c r="F115" i="42" s="1"/>
  <c r="E190" i="42" s="1"/>
  <c r="E258" i="42" s="1"/>
  <c r="F305" i="42" s="1"/>
  <c r="G359" i="42" s="1"/>
  <c r="D472" i="42" s="1"/>
  <c r="F54" i="42"/>
  <c r="F114" i="42" s="1"/>
  <c r="E189" i="42" s="1"/>
  <c r="E257" i="42" s="1"/>
  <c r="F304" i="42" s="1"/>
  <c r="G358" i="42" s="1"/>
  <c r="D471" i="42" s="1"/>
  <c r="F53" i="42"/>
  <c r="F113" i="42" s="1"/>
  <c r="E188" i="42" s="1"/>
  <c r="E256" i="42" s="1"/>
  <c r="F303" i="42" s="1"/>
  <c r="G357" i="42" s="1"/>
  <c r="D470" i="42" s="1"/>
  <c r="F52" i="42"/>
  <c r="F112" i="42" s="1"/>
  <c r="E187" i="42" s="1"/>
  <c r="E255" i="42" s="1"/>
  <c r="F302" i="42" s="1"/>
  <c r="G356" i="42" s="1"/>
  <c r="D469" i="42" s="1"/>
  <c r="F51" i="42"/>
  <c r="F111" i="42" s="1"/>
  <c r="E186" i="42" s="1"/>
  <c r="E254" i="42" s="1"/>
  <c r="F301" i="42" s="1"/>
  <c r="G355" i="42" s="1"/>
  <c r="D468" i="42" s="1"/>
  <c r="F50" i="42"/>
  <c r="F110" i="42" s="1"/>
  <c r="E185" i="42" s="1"/>
  <c r="E253" i="42" s="1"/>
  <c r="F300" i="42" s="1"/>
  <c r="G354" i="42" s="1"/>
  <c r="D467" i="42" s="1"/>
  <c r="F49" i="42"/>
  <c r="F109" i="42" s="1"/>
  <c r="E184" i="42" s="1"/>
  <c r="E252" i="42" s="1"/>
  <c r="F299" i="42" s="1"/>
  <c r="G353" i="42" s="1"/>
  <c r="D466" i="42" s="1"/>
  <c r="F48" i="42"/>
  <c r="F108" i="42" s="1"/>
  <c r="E183" i="42" s="1"/>
  <c r="E251" i="42" s="1"/>
  <c r="F298" i="42" s="1"/>
  <c r="G352" i="42" s="1"/>
  <c r="D465" i="42" s="1"/>
  <c r="F47" i="42"/>
  <c r="F107" i="42" s="1"/>
  <c r="E182" i="42" s="1"/>
  <c r="E250" i="42" s="1"/>
  <c r="F297" i="42" s="1"/>
  <c r="G351" i="42" s="1"/>
  <c r="D464" i="42" s="1"/>
  <c r="F46" i="42"/>
  <c r="F106" i="42" s="1"/>
  <c r="E181" i="42" s="1"/>
  <c r="E249" i="42" s="1"/>
  <c r="F296" i="42" s="1"/>
  <c r="G350" i="42" s="1"/>
  <c r="D463" i="42" s="1"/>
  <c r="F45" i="42"/>
  <c r="F105" i="42" s="1"/>
  <c r="E180" i="42" s="1"/>
  <c r="E248" i="42" s="1"/>
  <c r="F295" i="42" s="1"/>
  <c r="G349" i="42" s="1"/>
  <c r="D462" i="42" s="1"/>
  <c r="F44" i="42"/>
  <c r="F104" i="42" s="1"/>
  <c r="E179" i="42" s="1"/>
  <c r="E247" i="42" s="1"/>
  <c r="F294" i="42" s="1"/>
  <c r="G348" i="42" s="1"/>
  <c r="D461" i="42" s="1"/>
  <c r="F43" i="42"/>
  <c r="F103" i="42" s="1"/>
  <c r="E178" i="42" s="1"/>
  <c r="E246" i="42" s="1"/>
  <c r="F293" i="42" s="1"/>
  <c r="G347" i="42" s="1"/>
  <c r="D460" i="42" s="1"/>
  <c r="F42" i="42"/>
  <c r="G37" i="42"/>
  <c r="D38" i="42" s="1"/>
  <c r="F357" i="41"/>
  <c r="F358" i="41"/>
  <c r="F359" i="41"/>
  <c r="F360" i="41"/>
  <c r="F361" i="41"/>
  <c r="F362" i="41"/>
  <c r="F363" i="41"/>
  <c r="F364" i="41"/>
  <c r="F365" i="41"/>
  <c r="F366" i="41"/>
  <c r="F367" i="41"/>
  <c r="F368" i="41"/>
  <c r="F369" i="41"/>
  <c r="F370" i="41"/>
  <c r="F371" i="41"/>
  <c r="F372" i="41"/>
  <c r="F373" i="41"/>
  <c r="F374" i="41"/>
  <c r="F375" i="41"/>
  <c r="F376" i="41"/>
  <c r="F377" i="41"/>
  <c r="N182" i="41"/>
  <c r="N183" i="41"/>
  <c r="N184" i="41"/>
  <c r="N185" i="41"/>
  <c r="N186" i="41"/>
  <c r="N187" i="41"/>
  <c r="N188" i="41"/>
  <c r="N189" i="41"/>
  <c r="N190" i="41"/>
  <c r="N191" i="41"/>
  <c r="N192" i="41"/>
  <c r="N193" i="41"/>
  <c r="N194" i="41"/>
  <c r="N195" i="41"/>
  <c r="N196" i="41"/>
  <c r="N197" i="41"/>
  <c r="N198" i="41"/>
  <c r="N199" i="41"/>
  <c r="N200" i="41"/>
  <c r="N201" i="41"/>
  <c r="N202" i="41"/>
  <c r="E105" i="41"/>
  <c r="E106" i="41"/>
  <c r="E107" i="41"/>
  <c r="E108" i="41"/>
  <c r="E109" i="41"/>
  <c r="E110" i="41"/>
  <c r="E111" i="41"/>
  <c r="E112" i="41"/>
  <c r="E113" i="41"/>
  <c r="E114" i="41"/>
  <c r="E115" i="41"/>
  <c r="E116" i="41"/>
  <c r="E117" i="41"/>
  <c r="E118" i="41"/>
  <c r="E119" i="41"/>
  <c r="E120" i="41"/>
  <c r="E121" i="41"/>
  <c r="E122" i="41"/>
  <c r="E123" i="41"/>
  <c r="E124" i="41"/>
  <c r="E125" i="41"/>
  <c r="E104" i="41"/>
  <c r="B105" i="41"/>
  <c r="D404" i="41" s="1"/>
  <c r="B474" i="41" s="1"/>
  <c r="C105" i="41"/>
  <c r="E404" i="41" s="1"/>
  <c r="C474" i="41" s="1"/>
  <c r="D105" i="41"/>
  <c r="D182" i="41" s="1"/>
  <c r="D252" i="41" s="1"/>
  <c r="E301" i="41" s="1"/>
  <c r="G105" i="41"/>
  <c r="H105" i="41"/>
  <c r="F182" i="41" s="1"/>
  <c r="G252" i="41" s="1"/>
  <c r="E474" i="41" s="1"/>
  <c r="B106" i="41"/>
  <c r="C106" i="41"/>
  <c r="D106" i="41"/>
  <c r="D183" i="41" s="1"/>
  <c r="D253" i="41" s="1"/>
  <c r="E302" i="41" s="1"/>
  <c r="G106" i="41"/>
  <c r="H106" i="41"/>
  <c r="F183" i="41" s="1"/>
  <c r="G253" i="41" s="1"/>
  <c r="E475" i="41" s="1"/>
  <c r="B107" i="41"/>
  <c r="C107" i="41"/>
  <c r="D107" i="41"/>
  <c r="D184" i="41" s="1"/>
  <c r="D254" i="41" s="1"/>
  <c r="E303" i="41" s="1"/>
  <c r="G107" i="41"/>
  <c r="H107" i="41"/>
  <c r="F184" i="41" s="1"/>
  <c r="G254" i="41" s="1"/>
  <c r="E476" i="41" s="1"/>
  <c r="B108" i="41"/>
  <c r="C108" i="41"/>
  <c r="D108" i="41"/>
  <c r="D185" i="41" s="1"/>
  <c r="D255" i="41" s="1"/>
  <c r="E304" i="41" s="1"/>
  <c r="G108" i="41"/>
  <c r="H108" i="41"/>
  <c r="F185" i="41" s="1"/>
  <c r="G255" i="41" s="1"/>
  <c r="E477" i="41" s="1"/>
  <c r="B109" i="41"/>
  <c r="C109" i="41"/>
  <c r="D109" i="41"/>
  <c r="D186" i="41" s="1"/>
  <c r="D256" i="41" s="1"/>
  <c r="E305" i="41" s="1"/>
  <c r="G109" i="41"/>
  <c r="H109" i="41"/>
  <c r="F186" i="41" s="1"/>
  <c r="G256" i="41" s="1"/>
  <c r="E478" i="41" s="1"/>
  <c r="B110" i="41"/>
  <c r="C110" i="41"/>
  <c r="D110" i="41"/>
  <c r="D187" i="41" s="1"/>
  <c r="D257" i="41" s="1"/>
  <c r="E306" i="41" s="1"/>
  <c r="G110" i="41"/>
  <c r="H110" i="41"/>
  <c r="F187" i="41" s="1"/>
  <c r="G257" i="41" s="1"/>
  <c r="E479" i="41" s="1"/>
  <c r="B111" i="41"/>
  <c r="C111" i="41"/>
  <c r="D111" i="41"/>
  <c r="D188" i="41" s="1"/>
  <c r="D258" i="41" s="1"/>
  <c r="E307" i="41" s="1"/>
  <c r="G111" i="41"/>
  <c r="H111" i="41"/>
  <c r="F188" i="41" s="1"/>
  <c r="G258" i="41" s="1"/>
  <c r="E480" i="41" s="1"/>
  <c r="B112" i="41"/>
  <c r="C112" i="41"/>
  <c r="D112" i="41"/>
  <c r="D189" i="41" s="1"/>
  <c r="D259" i="41" s="1"/>
  <c r="E308" i="41" s="1"/>
  <c r="G112" i="41"/>
  <c r="H112" i="41"/>
  <c r="F189" i="41" s="1"/>
  <c r="G259" i="41" s="1"/>
  <c r="E481" i="41" s="1"/>
  <c r="B113" i="41"/>
  <c r="C113" i="41"/>
  <c r="D113" i="41"/>
  <c r="D190" i="41" s="1"/>
  <c r="D260" i="41" s="1"/>
  <c r="E309" i="41" s="1"/>
  <c r="G113" i="41"/>
  <c r="H113" i="41"/>
  <c r="F190" i="41" s="1"/>
  <c r="G260" i="41" s="1"/>
  <c r="E482" i="41" s="1"/>
  <c r="B114" i="41"/>
  <c r="C114" i="41"/>
  <c r="D114" i="41"/>
  <c r="D191" i="41" s="1"/>
  <c r="D261" i="41" s="1"/>
  <c r="E310" i="41" s="1"/>
  <c r="G114" i="41"/>
  <c r="H114" i="41"/>
  <c r="F191" i="41" s="1"/>
  <c r="G261" i="41" s="1"/>
  <c r="E483" i="41" s="1"/>
  <c r="B115" i="41"/>
  <c r="C115" i="41"/>
  <c r="D115" i="41"/>
  <c r="D192" i="41" s="1"/>
  <c r="D262" i="41" s="1"/>
  <c r="E311" i="41" s="1"/>
  <c r="G115" i="41"/>
  <c r="H115" i="41"/>
  <c r="F192" i="41" s="1"/>
  <c r="G262" i="41" s="1"/>
  <c r="E484" i="41" s="1"/>
  <c r="B116" i="41"/>
  <c r="C116" i="41"/>
  <c r="D116" i="41"/>
  <c r="D193" i="41" s="1"/>
  <c r="D263" i="41" s="1"/>
  <c r="E312" i="41" s="1"/>
  <c r="G116" i="41"/>
  <c r="H116" i="41"/>
  <c r="F193" i="41" s="1"/>
  <c r="G263" i="41" s="1"/>
  <c r="E485" i="41" s="1"/>
  <c r="B117" i="41"/>
  <c r="C117" i="41"/>
  <c r="D117" i="41"/>
  <c r="D194" i="41" s="1"/>
  <c r="D264" i="41" s="1"/>
  <c r="E313" i="41" s="1"/>
  <c r="G117" i="41"/>
  <c r="H117" i="41"/>
  <c r="F194" i="41" s="1"/>
  <c r="G264" i="41" s="1"/>
  <c r="E486" i="41" s="1"/>
  <c r="B118" i="41"/>
  <c r="C118" i="41"/>
  <c r="D118" i="41"/>
  <c r="D195" i="41" s="1"/>
  <c r="D265" i="41" s="1"/>
  <c r="E314" i="41" s="1"/>
  <c r="G118" i="41"/>
  <c r="H118" i="41"/>
  <c r="F195" i="41" s="1"/>
  <c r="G265" i="41" s="1"/>
  <c r="E487" i="41" s="1"/>
  <c r="B119" i="41"/>
  <c r="C119" i="41"/>
  <c r="D119" i="41"/>
  <c r="D196" i="41" s="1"/>
  <c r="D266" i="41" s="1"/>
  <c r="E315" i="41" s="1"/>
  <c r="G119" i="41"/>
  <c r="H119" i="41"/>
  <c r="F196" i="41" s="1"/>
  <c r="G266" i="41" s="1"/>
  <c r="E488" i="41" s="1"/>
  <c r="B120" i="41"/>
  <c r="C120" i="41"/>
  <c r="D120" i="41"/>
  <c r="D197" i="41" s="1"/>
  <c r="D267" i="41" s="1"/>
  <c r="E316" i="41" s="1"/>
  <c r="G120" i="41"/>
  <c r="H120" i="41"/>
  <c r="F197" i="41" s="1"/>
  <c r="G267" i="41" s="1"/>
  <c r="E489" i="41" s="1"/>
  <c r="B121" i="41"/>
  <c r="C121" i="41"/>
  <c r="D121" i="41"/>
  <c r="D198" i="41" s="1"/>
  <c r="D268" i="41" s="1"/>
  <c r="E317" i="41" s="1"/>
  <c r="G121" i="41"/>
  <c r="H121" i="41"/>
  <c r="F198" i="41" s="1"/>
  <c r="G268" i="41" s="1"/>
  <c r="E490" i="41" s="1"/>
  <c r="B122" i="41"/>
  <c r="C122" i="41"/>
  <c r="D122" i="41"/>
  <c r="D199" i="41" s="1"/>
  <c r="D269" i="41" s="1"/>
  <c r="E318" i="41" s="1"/>
  <c r="G122" i="41"/>
  <c r="H122" i="41"/>
  <c r="F199" i="41" s="1"/>
  <c r="G269" i="41" s="1"/>
  <c r="E491" i="41" s="1"/>
  <c r="B123" i="41"/>
  <c r="C123" i="41"/>
  <c r="D123" i="41"/>
  <c r="D200" i="41" s="1"/>
  <c r="D270" i="41" s="1"/>
  <c r="E319" i="41" s="1"/>
  <c r="G123" i="41"/>
  <c r="H123" i="41"/>
  <c r="F200" i="41" s="1"/>
  <c r="G270" i="41" s="1"/>
  <c r="E492" i="41" s="1"/>
  <c r="B124" i="41"/>
  <c r="C124" i="41"/>
  <c r="D124" i="41"/>
  <c r="D201" i="41" s="1"/>
  <c r="D271" i="41" s="1"/>
  <c r="E320" i="41" s="1"/>
  <c r="G124" i="41"/>
  <c r="H124" i="41"/>
  <c r="F201" i="41" s="1"/>
  <c r="G271" i="41" s="1"/>
  <c r="E493" i="41" s="1"/>
  <c r="B125" i="41"/>
  <c r="C125" i="41"/>
  <c r="D125" i="41"/>
  <c r="D202" i="41" s="1"/>
  <c r="G125" i="41"/>
  <c r="H125" i="41"/>
  <c r="F202" i="41" s="1"/>
  <c r="G272" i="41" s="1"/>
  <c r="E494" i="41" s="1"/>
  <c r="F43" i="41"/>
  <c r="F105" i="41" s="1"/>
  <c r="E182" i="41" s="1"/>
  <c r="E252" i="41" s="1"/>
  <c r="F301" i="41" s="1"/>
  <c r="G357" i="41" s="1"/>
  <c r="D474" i="41" s="1"/>
  <c r="F44" i="41"/>
  <c r="J44" i="41" s="1"/>
  <c r="K44" i="41" s="1"/>
  <c r="H302" i="41" s="1"/>
  <c r="F45" i="41"/>
  <c r="P45" i="41" s="1"/>
  <c r="F46" i="41"/>
  <c r="P46" i="41" s="1"/>
  <c r="F47" i="41"/>
  <c r="P47" i="41" s="1"/>
  <c r="F48" i="41"/>
  <c r="P48" i="41" s="1"/>
  <c r="F49" i="41"/>
  <c r="J49" i="41" s="1"/>
  <c r="K49" i="41" s="1"/>
  <c r="H307" i="41" s="1"/>
  <c r="F50" i="41"/>
  <c r="J50" i="41" s="1"/>
  <c r="K50" i="41" s="1"/>
  <c r="H308" i="41" s="1"/>
  <c r="F51" i="41"/>
  <c r="J51" i="41" s="1"/>
  <c r="K51" i="41" s="1"/>
  <c r="H309" i="41" s="1"/>
  <c r="F52" i="41"/>
  <c r="P52" i="41" s="1"/>
  <c r="F53" i="41"/>
  <c r="J53" i="41" s="1"/>
  <c r="K53" i="41" s="1"/>
  <c r="H311" i="41" s="1"/>
  <c r="F54" i="41"/>
  <c r="P54" i="41" s="1"/>
  <c r="F55" i="41"/>
  <c r="J55" i="41" s="1"/>
  <c r="K55" i="41" s="1"/>
  <c r="H313" i="41" s="1"/>
  <c r="F56" i="41"/>
  <c r="J56" i="41" s="1"/>
  <c r="K56" i="41" s="1"/>
  <c r="H314" i="41" s="1"/>
  <c r="F57" i="41"/>
  <c r="P57" i="41" s="1"/>
  <c r="F58" i="41"/>
  <c r="F120" i="41" s="1"/>
  <c r="E197" i="41" s="1"/>
  <c r="E267" i="41" s="1"/>
  <c r="F316" i="41" s="1"/>
  <c r="G372" i="41" s="1"/>
  <c r="D489" i="41" s="1"/>
  <c r="F59" i="41"/>
  <c r="J59" i="41" s="1"/>
  <c r="K59" i="41" s="1"/>
  <c r="H317" i="41" s="1"/>
  <c r="F60" i="41"/>
  <c r="F61" i="41"/>
  <c r="J61" i="41" s="1"/>
  <c r="K61" i="41" s="1"/>
  <c r="H319" i="41" s="1"/>
  <c r="F62" i="41"/>
  <c r="J62" i="41" s="1"/>
  <c r="K62" i="41" s="1"/>
  <c r="H320" i="41" s="1"/>
  <c r="F63" i="41"/>
  <c r="F356" i="41"/>
  <c r="F355" i="41"/>
  <c r="E355" i="41"/>
  <c r="D355" i="41"/>
  <c r="D299" i="41"/>
  <c r="C299" i="41"/>
  <c r="C249" i="41"/>
  <c r="B249" i="41"/>
  <c r="G245" i="41"/>
  <c r="N181" i="41"/>
  <c r="F180" i="41"/>
  <c r="C180" i="41"/>
  <c r="B180" i="41"/>
  <c r="D176" i="41"/>
  <c r="D177" i="41" s="1"/>
  <c r="F246" i="41" s="1"/>
  <c r="D174" i="41"/>
  <c r="D175" i="41" s="1"/>
  <c r="F245" i="41" s="1"/>
  <c r="H104" i="41"/>
  <c r="F181" i="41" s="1"/>
  <c r="D104" i="41"/>
  <c r="D181" i="41" s="1"/>
  <c r="D251" i="41" s="1"/>
  <c r="E300" i="41" s="1"/>
  <c r="C104" i="41"/>
  <c r="E403" i="41" s="1"/>
  <c r="C473" i="41" s="1"/>
  <c r="B104" i="41"/>
  <c r="B181" i="41" s="1"/>
  <c r="B251" i="41" s="1"/>
  <c r="C300" i="41" s="1"/>
  <c r="D356" i="41" s="1"/>
  <c r="C103" i="41"/>
  <c r="B103" i="41"/>
  <c r="G104" i="41"/>
  <c r="J104" i="41" s="1"/>
  <c r="F42" i="41"/>
  <c r="G37" i="41"/>
  <c r="D39" i="41" s="1"/>
  <c r="F43" i="22"/>
  <c r="F44" i="22"/>
  <c r="F80" i="22" s="1"/>
  <c r="E130" i="22" s="1"/>
  <c r="E173" i="22" s="1"/>
  <c r="F195" i="22" s="1"/>
  <c r="G224" i="22" s="1"/>
  <c r="D287" i="22" s="1"/>
  <c r="F45" i="22"/>
  <c r="F81" i="22" s="1"/>
  <c r="E131" i="22" s="1"/>
  <c r="E174" i="22" s="1"/>
  <c r="F196" i="22" s="1"/>
  <c r="G225" i="22" s="1"/>
  <c r="D288" i="22" s="1"/>
  <c r="F42" i="22"/>
  <c r="F78" i="22" s="1"/>
  <c r="E128" i="22" s="1"/>
  <c r="J14" i="37"/>
  <c r="J15" i="37"/>
  <c r="J16" i="37"/>
  <c r="J17" i="37"/>
  <c r="J18" i="37"/>
  <c r="J19" i="37"/>
  <c r="J20" i="37"/>
  <c r="J21" i="37"/>
  <c r="J22" i="37"/>
  <c r="J23" i="37"/>
  <c r="J24" i="37"/>
  <c r="J25" i="37"/>
  <c r="J26" i="37"/>
  <c r="J27" i="37"/>
  <c r="J28" i="37"/>
  <c r="J29" i="37"/>
  <c r="J30" i="37"/>
  <c r="J31" i="37"/>
  <c r="J32" i="37"/>
  <c r="J33" i="37"/>
  <c r="J34" i="37"/>
  <c r="J35" i="37"/>
  <c r="J36" i="37"/>
  <c r="J37" i="37"/>
  <c r="J38" i="37"/>
  <c r="J39" i="37"/>
  <c r="J40" i="37"/>
  <c r="J41" i="37"/>
  <c r="J42" i="37"/>
  <c r="J43" i="37"/>
  <c r="J44" i="37"/>
  <c r="J45" i="37"/>
  <c r="J46" i="37"/>
  <c r="J47" i="37"/>
  <c r="J48" i="37"/>
  <c r="J49" i="37"/>
  <c r="J50" i="37"/>
  <c r="J51" i="37"/>
  <c r="J52" i="37"/>
  <c r="J53" i="37"/>
  <c r="J54" i="37"/>
  <c r="J55" i="37"/>
  <c r="J56" i="37"/>
  <c r="J57" i="37"/>
  <c r="J58" i="37"/>
  <c r="I13" i="37"/>
  <c r="K13" i="37" s="1"/>
  <c r="I14" i="37"/>
  <c r="I15" i="37"/>
  <c r="I16" i="37"/>
  <c r="I17" i="37"/>
  <c r="I18" i="37"/>
  <c r="I19" i="37"/>
  <c r="I20" i="37"/>
  <c r="I21" i="37"/>
  <c r="I22" i="37"/>
  <c r="I23" i="37"/>
  <c r="I24" i="37"/>
  <c r="I25" i="37"/>
  <c r="I26" i="37"/>
  <c r="I27" i="37"/>
  <c r="I28" i="37"/>
  <c r="I29" i="37"/>
  <c r="I30" i="37"/>
  <c r="I31" i="37"/>
  <c r="I32" i="37"/>
  <c r="I33" i="37"/>
  <c r="I34" i="37"/>
  <c r="I35" i="37"/>
  <c r="I36" i="37"/>
  <c r="I37" i="37"/>
  <c r="I38" i="37"/>
  <c r="I39" i="37"/>
  <c r="I40" i="37"/>
  <c r="I41" i="37"/>
  <c r="I42" i="37"/>
  <c r="I43" i="37"/>
  <c r="I44" i="37"/>
  <c r="I45" i="37"/>
  <c r="I46" i="37"/>
  <c r="I47" i="37"/>
  <c r="I48" i="37"/>
  <c r="I49" i="37"/>
  <c r="I50" i="37"/>
  <c r="I51" i="37"/>
  <c r="I52" i="37"/>
  <c r="I53" i="37"/>
  <c r="I54" i="37"/>
  <c r="I55" i="37"/>
  <c r="I56" i="37"/>
  <c r="I57" i="37"/>
  <c r="I58" i="37"/>
  <c r="F223" i="22"/>
  <c r="F224" i="22"/>
  <c r="F225" i="22"/>
  <c r="F226" i="22"/>
  <c r="F227" i="22"/>
  <c r="F228" i="22"/>
  <c r="F222" i="22"/>
  <c r="D79" i="22"/>
  <c r="D129" i="22" s="1"/>
  <c r="D172" i="22" s="1"/>
  <c r="E194" i="22" s="1"/>
  <c r="D80" i="22"/>
  <c r="D130" i="22" s="1"/>
  <c r="D173" i="22" s="1"/>
  <c r="E195" i="22" s="1"/>
  <c r="D81" i="22"/>
  <c r="D131" i="22" s="1"/>
  <c r="D174" i="22" s="1"/>
  <c r="E196" i="22" s="1"/>
  <c r="D82" i="22"/>
  <c r="D132" i="22" s="1"/>
  <c r="D175" i="22" s="1"/>
  <c r="E197" i="22" s="1"/>
  <c r="D83" i="22"/>
  <c r="D133" i="22" s="1"/>
  <c r="D176" i="22" s="1"/>
  <c r="E198" i="22" s="1"/>
  <c r="D84" i="22"/>
  <c r="D134" i="22" s="1"/>
  <c r="D177" i="22" s="1"/>
  <c r="E199" i="22" s="1"/>
  <c r="D78" i="22"/>
  <c r="D128" i="22" s="1"/>
  <c r="D171" i="22" s="1"/>
  <c r="E193" i="22" s="1"/>
  <c r="C79" i="22"/>
  <c r="C129" i="22" s="1"/>
  <c r="C172" i="22" s="1"/>
  <c r="D194" i="22" s="1"/>
  <c r="E223" i="22" s="1"/>
  <c r="C80" i="22"/>
  <c r="C130" i="22" s="1"/>
  <c r="C173" i="22" s="1"/>
  <c r="D195" i="22" s="1"/>
  <c r="E224" i="22" s="1"/>
  <c r="C81" i="22"/>
  <c r="C131" i="22" s="1"/>
  <c r="C174" i="22" s="1"/>
  <c r="D196" i="22" s="1"/>
  <c r="E225" i="22" s="1"/>
  <c r="C82" i="22"/>
  <c r="C132" i="22" s="1"/>
  <c r="C175" i="22" s="1"/>
  <c r="D197" i="22" s="1"/>
  <c r="E226" i="22" s="1"/>
  <c r="C83" i="22"/>
  <c r="C133" i="22" s="1"/>
  <c r="C176" i="22" s="1"/>
  <c r="D198" i="22" s="1"/>
  <c r="E227" i="22" s="1"/>
  <c r="C84" i="22"/>
  <c r="C134" i="22" s="1"/>
  <c r="C177" i="22" s="1"/>
  <c r="D199" i="22" s="1"/>
  <c r="E228" i="22" s="1"/>
  <c r="B79" i="22"/>
  <c r="B129" i="22" s="1"/>
  <c r="B172" i="22" s="1"/>
  <c r="C194" i="22" s="1"/>
  <c r="D223" i="22" s="1"/>
  <c r="B80" i="22"/>
  <c r="B130" i="22" s="1"/>
  <c r="B173" i="22" s="1"/>
  <c r="C195" i="22" s="1"/>
  <c r="D224" i="22" s="1"/>
  <c r="B81" i="22"/>
  <c r="B131" i="22" s="1"/>
  <c r="B174" i="22" s="1"/>
  <c r="C196" i="22" s="1"/>
  <c r="D225" i="22" s="1"/>
  <c r="B82" i="22"/>
  <c r="B132" i="22" s="1"/>
  <c r="B175" i="22" s="1"/>
  <c r="C197" i="22" s="1"/>
  <c r="D226" i="22" s="1"/>
  <c r="B83" i="22"/>
  <c r="B133" i="22" s="1"/>
  <c r="B176" i="22" s="1"/>
  <c r="C198" i="22" s="1"/>
  <c r="D227" i="22" s="1"/>
  <c r="B84" i="22"/>
  <c r="B134" i="22" s="1"/>
  <c r="B177" i="22" s="1"/>
  <c r="C199" i="22" s="1"/>
  <c r="D228" i="22" s="1"/>
  <c r="C78" i="22"/>
  <c r="C128" i="22" s="1"/>
  <c r="C171" i="22" s="1"/>
  <c r="D193" i="22" s="1"/>
  <c r="E222" i="22" s="1"/>
  <c r="B78" i="22"/>
  <c r="B128" i="22" s="1"/>
  <c r="B171" i="22" s="1"/>
  <c r="C193" i="22" s="1"/>
  <c r="D222" i="22" s="1"/>
  <c r="G80" i="22"/>
  <c r="J80" i="22" s="1"/>
  <c r="H79" i="22"/>
  <c r="F129" i="22" s="1"/>
  <c r="G78" i="22"/>
  <c r="F242" i="22" s="1"/>
  <c r="F285" i="22" s="1"/>
  <c r="G79" i="22"/>
  <c r="J79" i="22" s="1"/>
  <c r="G81" i="22"/>
  <c r="F174" i="22" s="1"/>
  <c r="G196" i="22" s="1"/>
  <c r="G82" i="22"/>
  <c r="J82" i="22" s="1"/>
  <c r="G83" i="22"/>
  <c r="F176" i="22" s="1"/>
  <c r="G198" i="22" s="1"/>
  <c r="G84" i="22"/>
  <c r="I474" i="41" l="1"/>
  <c r="J474" i="41"/>
  <c r="J472" i="42"/>
  <c r="I472" i="42"/>
  <c r="I222" i="44"/>
  <c r="J222" i="44"/>
  <c r="I464" i="42"/>
  <c r="J464" i="42"/>
  <c r="I288" i="22"/>
  <c r="J288" i="22"/>
  <c r="I489" i="41"/>
  <c r="J489" i="41"/>
  <c r="I465" i="42"/>
  <c r="J465" i="42"/>
  <c r="I473" i="42"/>
  <c r="J473" i="42"/>
  <c r="I221" i="44"/>
  <c r="J221" i="44"/>
  <c r="K221" i="45"/>
  <c r="J474" i="42"/>
  <c r="I474" i="42"/>
  <c r="I467" i="42"/>
  <c r="J467" i="42"/>
  <c r="I475" i="42"/>
  <c r="J475" i="42"/>
  <c r="I147" i="48"/>
  <c r="I287" i="22"/>
  <c r="J287" i="22"/>
  <c r="K35" i="37"/>
  <c r="I460" i="42"/>
  <c r="J460" i="42"/>
  <c r="I468" i="42"/>
  <c r="J468" i="42"/>
  <c r="J220" i="44"/>
  <c r="I220" i="44"/>
  <c r="I222" i="45"/>
  <c r="J222" i="45"/>
  <c r="K206" i="48"/>
  <c r="G206" i="48"/>
  <c r="I148" i="49"/>
  <c r="K198" i="46"/>
  <c r="J466" i="42"/>
  <c r="I466" i="42"/>
  <c r="I461" i="42"/>
  <c r="J461" i="42"/>
  <c r="I469" i="42"/>
  <c r="J469" i="42"/>
  <c r="J296" i="22"/>
  <c r="I296" i="22"/>
  <c r="J462" i="42"/>
  <c r="I462" i="42"/>
  <c r="I470" i="42"/>
  <c r="J470" i="42"/>
  <c r="K219" i="50"/>
  <c r="G172" i="22"/>
  <c r="E286" i="22"/>
  <c r="J463" i="42"/>
  <c r="I463" i="42"/>
  <c r="I471" i="42"/>
  <c r="J471" i="42"/>
  <c r="H168" i="46"/>
  <c r="E176" i="44"/>
  <c r="E175" i="44"/>
  <c r="E177" i="44"/>
  <c r="G254" i="22"/>
  <c r="R54" i="22"/>
  <c r="G251" i="22"/>
  <c r="G294" i="22" s="1"/>
  <c r="R51" i="22"/>
  <c r="G253" i="22"/>
  <c r="R53" i="22"/>
  <c r="G252" i="22"/>
  <c r="G295" i="22" s="1"/>
  <c r="R52" i="22"/>
  <c r="G250" i="22"/>
  <c r="G293" i="22" s="1"/>
  <c r="K293" i="22" s="1"/>
  <c r="R50" i="22"/>
  <c r="R78" i="41"/>
  <c r="R54" i="41"/>
  <c r="R47" i="41"/>
  <c r="R79" i="41"/>
  <c r="R52" i="41"/>
  <c r="R46" i="41"/>
  <c r="R48" i="41"/>
  <c r="R77" i="41"/>
  <c r="R68" i="41"/>
  <c r="R57" i="41"/>
  <c r="R45" i="41"/>
  <c r="R66" i="41"/>
  <c r="R72" i="41"/>
  <c r="R67" i="41"/>
  <c r="R71" i="41"/>
  <c r="G187" i="44"/>
  <c r="G221" i="44" s="1"/>
  <c r="K221" i="44" s="1"/>
  <c r="Q43" i="44"/>
  <c r="H175" i="49"/>
  <c r="G110" i="50"/>
  <c r="H144" i="50" s="1"/>
  <c r="G109" i="50"/>
  <c r="H143" i="50" s="1"/>
  <c r="G111" i="50"/>
  <c r="H145" i="50" s="1"/>
  <c r="Q67" i="41"/>
  <c r="G428" i="41"/>
  <c r="G498" i="41" s="1"/>
  <c r="I124" i="41"/>
  <c r="F423" i="41"/>
  <c r="F493" i="41" s="1"/>
  <c r="B192" i="41"/>
  <c r="B262" i="41" s="1"/>
  <c r="C311" i="41" s="1"/>
  <c r="D367" i="41" s="1"/>
  <c r="D414" i="41"/>
  <c r="B484" i="41" s="1"/>
  <c r="I112" i="41"/>
  <c r="F411" i="41"/>
  <c r="F481" i="41" s="1"/>
  <c r="B186" i="41"/>
  <c r="B256" i="41" s="1"/>
  <c r="C305" i="41" s="1"/>
  <c r="D361" i="41" s="1"/>
  <c r="D408" i="41"/>
  <c r="B478" i="41" s="1"/>
  <c r="Q47" i="41"/>
  <c r="G408" i="41"/>
  <c r="G478" i="41" s="1"/>
  <c r="C188" i="41"/>
  <c r="C258" i="41" s="1"/>
  <c r="D307" i="41" s="1"/>
  <c r="E363" i="41" s="1"/>
  <c r="E410" i="41"/>
  <c r="C480" i="41" s="1"/>
  <c r="N107" i="41"/>
  <c r="F406" i="41"/>
  <c r="F476" i="41" s="1"/>
  <c r="Q52" i="41"/>
  <c r="G413" i="41"/>
  <c r="G483" i="41" s="1"/>
  <c r="Q46" i="41"/>
  <c r="G407" i="41"/>
  <c r="G477" i="41" s="1"/>
  <c r="C201" i="41"/>
  <c r="C271" i="41" s="1"/>
  <c r="D320" i="41" s="1"/>
  <c r="E376" i="41" s="1"/>
  <c r="E423" i="41"/>
  <c r="C493" i="41" s="1"/>
  <c r="B200" i="41"/>
  <c r="B270" i="41" s="1"/>
  <c r="C319" i="41" s="1"/>
  <c r="D375" i="41" s="1"/>
  <c r="D422" i="41"/>
  <c r="B492" i="41" s="1"/>
  <c r="I120" i="41"/>
  <c r="K120" i="41" s="1"/>
  <c r="F419" i="41"/>
  <c r="F489" i="41" s="1"/>
  <c r="C195" i="41"/>
  <c r="C265" i="41" s="1"/>
  <c r="D314" i="41" s="1"/>
  <c r="E370" i="41" s="1"/>
  <c r="E417" i="41"/>
  <c r="C487" i="41" s="1"/>
  <c r="B194" i="41"/>
  <c r="B264" i="41" s="1"/>
  <c r="C313" i="41" s="1"/>
  <c r="D369" i="41" s="1"/>
  <c r="D416" i="41"/>
  <c r="B486" i="41" s="1"/>
  <c r="I114" i="41"/>
  <c r="F413" i="41"/>
  <c r="F483" i="41" s="1"/>
  <c r="C189" i="41"/>
  <c r="C259" i="41" s="1"/>
  <c r="D308" i="41" s="1"/>
  <c r="E364" i="41" s="1"/>
  <c r="E411" i="41"/>
  <c r="C481" i="41" s="1"/>
  <c r="B188" i="41"/>
  <c r="B258" i="41" s="1"/>
  <c r="C307" i="41" s="1"/>
  <c r="D363" i="41" s="1"/>
  <c r="D410" i="41"/>
  <c r="B480" i="41" s="1"/>
  <c r="I108" i="41"/>
  <c r="K108" i="41" s="1"/>
  <c r="F407" i="41"/>
  <c r="F477" i="41" s="1"/>
  <c r="C183" i="41"/>
  <c r="C253" i="41" s="1"/>
  <c r="D302" i="41" s="1"/>
  <c r="E358" i="41" s="1"/>
  <c r="E405" i="41"/>
  <c r="C475" i="41" s="1"/>
  <c r="Q77" i="41"/>
  <c r="G438" i="41"/>
  <c r="G508" i="41" s="1"/>
  <c r="Q68" i="41"/>
  <c r="G429" i="41"/>
  <c r="G499" i="41" s="1"/>
  <c r="H431" i="41"/>
  <c r="H436" i="41"/>
  <c r="H442" i="41"/>
  <c r="H434" i="41"/>
  <c r="Q48" i="41"/>
  <c r="G409" i="41"/>
  <c r="G479" i="41" s="1"/>
  <c r="C199" i="41"/>
  <c r="C269" i="41" s="1"/>
  <c r="D318" i="41" s="1"/>
  <c r="E374" i="41" s="1"/>
  <c r="E421" i="41"/>
  <c r="C491" i="41" s="1"/>
  <c r="B198" i="41"/>
  <c r="B268" i="41" s="1"/>
  <c r="C317" i="41" s="1"/>
  <c r="D373" i="41" s="1"/>
  <c r="D420" i="41"/>
  <c r="B490" i="41" s="1"/>
  <c r="I118" i="41"/>
  <c r="F417" i="41"/>
  <c r="F487" i="41" s="1"/>
  <c r="C187" i="41"/>
  <c r="C257" i="41" s="1"/>
  <c r="D306" i="41" s="1"/>
  <c r="E362" i="41" s="1"/>
  <c r="E409" i="41"/>
  <c r="C479" i="41" s="1"/>
  <c r="H435" i="41"/>
  <c r="H430" i="41"/>
  <c r="B193" i="41"/>
  <c r="B263" i="41" s="1"/>
  <c r="C312" i="41" s="1"/>
  <c r="D368" i="41" s="1"/>
  <c r="D415" i="41"/>
  <c r="B485" i="41" s="1"/>
  <c r="J113" i="41"/>
  <c r="F412" i="41"/>
  <c r="F482" i="41" s="1"/>
  <c r="B187" i="41"/>
  <c r="B257" i="41" s="1"/>
  <c r="C306" i="41" s="1"/>
  <c r="D362" i="41" s="1"/>
  <c r="D409" i="41"/>
  <c r="B479" i="41" s="1"/>
  <c r="Q57" i="41"/>
  <c r="G418" i="41"/>
  <c r="G488" i="41" s="1"/>
  <c r="Q45" i="41"/>
  <c r="G406" i="41"/>
  <c r="G476" i="41" s="1"/>
  <c r="C202" i="41"/>
  <c r="C272" i="41" s="1"/>
  <c r="D321" i="41" s="1"/>
  <c r="E377" i="41" s="1"/>
  <c r="E424" i="41"/>
  <c r="C494" i="41" s="1"/>
  <c r="B201" i="41"/>
  <c r="B271" i="41" s="1"/>
  <c r="C320" i="41" s="1"/>
  <c r="D376" i="41" s="1"/>
  <c r="D423" i="41"/>
  <c r="B493" i="41" s="1"/>
  <c r="I121" i="41"/>
  <c r="F420" i="41"/>
  <c r="F490" i="41" s="1"/>
  <c r="C196" i="41"/>
  <c r="C266" i="41" s="1"/>
  <c r="D315" i="41" s="1"/>
  <c r="E371" i="41" s="1"/>
  <c r="E418" i="41"/>
  <c r="C488" i="41" s="1"/>
  <c r="B195" i="41"/>
  <c r="B265" i="41" s="1"/>
  <c r="C314" i="41" s="1"/>
  <c r="D370" i="41" s="1"/>
  <c r="D417" i="41"/>
  <c r="B487" i="41" s="1"/>
  <c r="I115" i="41"/>
  <c r="F414" i="41"/>
  <c r="F484" i="41" s="1"/>
  <c r="C190" i="41"/>
  <c r="C260" i="41" s="1"/>
  <c r="D309" i="41" s="1"/>
  <c r="E365" i="41" s="1"/>
  <c r="E412" i="41"/>
  <c r="C482" i="41" s="1"/>
  <c r="B189" i="41"/>
  <c r="B259" i="41" s="1"/>
  <c r="C308" i="41" s="1"/>
  <c r="D364" i="41" s="1"/>
  <c r="D411" i="41"/>
  <c r="B481" i="41" s="1"/>
  <c r="J109" i="41"/>
  <c r="F408" i="41"/>
  <c r="F478" i="41" s="1"/>
  <c r="C184" i="41"/>
  <c r="C254" i="41" s="1"/>
  <c r="D303" i="41" s="1"/>
  <c r="E359" i="41" s="1"/>
  <c r="E406" i="41"/>
  <c r="C476" i="41" s="1"/>
  <c r="B183" i="41"/>
  <c r="B253" i="41" s="1"/>
  <c r="C302" i="41" s="1"/>
  <c r="D358" i="41" s="1"/>
  <c r="D405" i="41"/>
  <c r="B475" i="41" s="1"/>
  <c r="Q79" i="41"/>
  <c r="G440" i="41"/>
  <c r="G510" i="41" s="1"/>
  <c r="Q54" i="41"/>
  <c r="G415" i="41"/>
  <c r="G485" i="41" s="1"/>
  <c r="C193" i="41"/>
  <c r="C263" i="41" s="1"/>
  <c r="D312" i="41" s="1"/>
  <c r="E368" i="41" s="1"/>
  <c r="E415" i="41"/>
  <c r="C485" i="41" s="1"/>
  <c r="I106" i="41"/>
  <c r="F405" i="41"/>
  <c r="F475" i="41" s="1"/>
  <c r="Q72" i="41"/>
  <c r="G433" i="41"/>
  <c r="G503" i="41" s="1"/>
  <c r="I125" i="41"/>
  <c r="F424" i="41"/>
  <c r="F494" i="41" s="1"/>
  <c r="C200" i="41"/>
  <c r="C270" i="41" s="1"/>
  <c r="D319" i="41" s="1"/>
  <c r="E375" i="41" s="1"/>
  <c r="E422" i="41"/>
  <c r="C492" i="41" s="1"/>
  <c r="B199" i="41"/>
  <c r="B269" i="41" s="1"/>
  <c r="C318" i="41" s="1"/>
  <c r="D374" i="41" s="1"/>
  <c r="D421" i="41"/>
  <c r="B491" i="41" s="1"/>
  <c r="I119" i="41"/>
  <c r="F418" i="41"/>
  <c r="F488" i="41" s="1"/>
  <c r="B202" i="41"/>
  <c r="D424" i="41"/>
  <c r="B494" i="41" s="1"/>
  <c r="J122" i="41"/>
  <c r="F421" i="41"/>
  <c r="F491" i="41" s="1"/>
  <c r="C197" i="41"/>
  <c r="C267" i="41" s="1"/>
  <c r="D316" i="41" s="1"/>
  <c r="E372" i="41" s="1"/>
  <c r="E419" i="41"/>
  <c r="C489" i="41" s="1"/>
  <c r="B196" i="41"/>
  <c r="B266" i="41" s="1"/>
  <c r="C315" i="41" s="1"/>
  <c r="D371" i="41" s="1"/>
  <c r="D418" i="41"/>
  <c r="B488" i="41" s="1"/>
  <c r="N116" i="41"/>
  <c r="F415" i="41"/>
  <c r="F485" i="41" s="1"/>
  <c r="C191" i="41"/>
  <c r="C261" i="41" s="1"/>
  <c r="D310" i="41" s="1"/>
  <c r="E366" i="41" s="1"/>
  <c r="E413" i="41"/>
  <c r="C483" i="41" s="1"/>
  <c r="B190" i="41"/>
  <c r="B260" i="41" s="1"/>
  <c r="C309" i="41" s="1"/>
  <c r="D365" i="41" s="1"/>
  <c r="D412" i="41"/>
  <c r="B482" i="41" s="1"/>
  <c r="I110" i="41"/>
  <c r="F409" i="41"/>
  <c r="F479" i="41" s="1"/>
  <c r="C185" i="41"/>
  <c r="C255" i="41" s="1"/>
  <c r="D304" i="41" s="1"/>
  <c r="E360" i="41" s="1"/>
  <c r="E407" i="41"/>
  <c r="C477" i="41" s="1"/>
  <c r="B184" i="41"/>
  <c r="B254" i="41" s="1"/>
  <c r="C303" i="41" s="1"/>
  <c r="D359" i="41" s="1"/>
  <c r="D406" i="41"/>
  <c r="B476" i="41" s="1"/>
  <c r="H437" i="41"/>
  <c r="H441" i="41"/>
  <c r="Q71" i="41"/>
  <c r="G432" i="41"/>
  <c r="G502" i="41" s="1"/>
  <c r="C194" i="41"/>
  <c r="C264" i="41" s="1"/>
  <c r="D313" i="41" s="1"/>
  <c r="E369" i="41" s="1"/>
  <c r="E416" i="41"/>
  <c r="C486" i="41" s="1"/>
  <c r="Q78" i="41"/>
  <c r="G439" i="41"/>
  <c r="G509" i="41" s="1"/>
  <c r="I123" i="41"/>
  <c r="F422" i="41"/>
  <c r="F492" i="41" s="1"/>
  <c r="C198" i="41"/>
  <c r="C268" i="41" s="1"/>
  <c r="D317" i="41" s="1"/>
  <c r="E373" i="41" s="1"/>
  <c r="E420" i="41"/>
  <c r="C490" i="41" s="1"/>
  <c r="B197" i="41"/>
  <c r="B267" i="41" s="1"/>
  <c r="C316" i="41" s="1"/>
  <c r="D372" i="41" s="1"/>
  <c r="D419" i="41"/>
  <c r="B489" i="41" s="1"/>
  <c r="I117" i="41"/>
  <c r="F416" i="41"/>
  <c r="F486" i="41" s="1"/>
  <c r="C192" i="41"/>
  <c r="C262" i="41" s="1"/>
  <c r="D311" i="41" s="1"/>
  <c r="E367" i="41" s="1"/>
  <c r="E414" i="41"/>
  <c r="C484" i="41" s="1"/>
  <c r="B191" i="41"/>
  <c r="B261" i="41" s="1"/>
  <c r="C310" i="41" s="1"/>
  <c r="D366" i="41" s="1"/>
  <c r="D413" i="41"/>
  <c r="B483" i="41" s="1"/>
  <c r="I111" i="41"/>
  <c r="F410" i="41"/>
  <c r="F480" i="41" s="1"/>
  <c r="C186" i="41"/>
  <c r="C256" i="41" s="1"/>
  <c r="D305" i="41" s="1"/>
  <c r="E361" i="41" s="1"/>
  <c r="E408" i="41"/>
  <c r="C478" i="41" s="1"/>
  <c r="B185" i="41"/>
  <c r="B255" i="41" s="1"/>
  <c r="C304" i="41" s="1"/>
  <c r="D360" i="41" s="1"/>
  <c r="D407" i="41"/>
  <c r="B477" i="41" s="1"/>
  <c r="I105" i="41"/>
  <c r="K105" i="41" s="1"/>
  <c r="F404" i="41"/>
  <c r="F474" i="41" s="1"/>
  <c r="Q66" i="41"/>
  <c r="G427" i="41"/>
  <c r="G497" i="41" s="1"/>
  <c r="H188" i="45"/>
  <c r="G105" i="53"/>
  <c r="H166" i="53"/>
  <c r="I166" i="53" s="1"/>
  <c r="J166" i="53" s="1"/>
  <c r="O111" i="45"/>
  <c r="G104" i="52"/>
  <c r="H136" i="52" s="1"/>
  <c r="H158" i="44"/>
  <c r="I156" i="50"/>
  <c r="H176" i="50" s="1"/>
  <c r="I176" i="50" s="1"/>
  <c r="J176" i="50" s="1"/>
  <c r="G105" i="52"/>
  <c r="H137" i="52" s="1"/>
  <c r="Q43" i="45"/>
  <c r="K111" i="44"/>
  <c r="H165" i="53"/>
  <c r="I165" i="53" s="1"/>
  <c r="J165" i="53" s="1"/>
  <c r="H174" i="52"/>
  <c r="H175" i="52"/>
  <c r="J147" i="52"/>
  <c r="H166" i="52"/>
  <c r="I166" i="52" s="1"/>
  <c r="J166" i="52" s="1"/>
  <c r="J148" i="52"/>
  <c r="I148" i="51"/>
  <c r="H166" i="51" s="1"/>
  <c r="I166" i="51" s="1"/>
  <c r="J166" i="51" s="1"/>
  <c r="H189" i="50"/>
  <c r="I158" i="50"/>
  <c r="H178" i="50" s="1"/>
  <c r="I178" i="50" s="1"/>
  <c r="J178" i="50" s="1"/>
  <c r="H166" i="49"/>
  <c r="I166" i="49" s="1"/>
  <c r="J166" i="49" s="1"/>
  <c r="I148" i="48"/>
  <c r="J148" i="48" s="1"/>
  <c r="H160" i="47"/>
  <c r="I160" i="47" s="1"/>
  <c r="J160" i="47" s="1"/>
  <c r="J143" i="47"/>
  <c r="H160" i="46"/>
  <c r="I160" i="46" s="1"/>
  <c r="J160" i="46" s="1"/>
  <c r="G187" i="45"/>
  <c r="G220" i="45" s="1"/>
  <c r="K220" i="45" s="1"/>
  <c r="K70" i="45"/>
  <c r="L70" i="45" s="1"/>
  <c r="I158" i="45" s="1"/>
  <c r="L69" i="45"/>
  <c r="L68" i="45"/>
  <c r="G109" i="45" s="1"/>
  <c r="J41" i="45"/>
  <c r="K41" i="45" s="1"/>
  <c r="G108" i="45" s="1"/>
  <c r="Q44" i="44"/>
  <c r="G189" i="44"/>
  <c r="G223" i="44" s="1"/>
  <c r="Q42" i="44"/>
  <c r="K70" i="44"/>
  <c r="L70" i="44" s="1"/>
  <c r="E111" i="44"/>
  <c r="J147" i="53"/>
  <c r="H175" i="53"/>
  <c r="G104" i="53"/>
  <c r="H137" i="53"/>
  <c r="J148" i="53"/>
  <c r="H137" i="51"/>
  <c r="H175" i="51"/>
  <c r="H147" i="51"/>
  <c r="J147" i="51" s="1"/>
  <c r="G104" i="51"/>
  <c r="I155" i="50"/>
  <c r="H175" i="50" s="1"/>
  <c r="I175" i="50" s="1"/>
  <c r="J175" i="50" s="1"/>
  <c r="H188" i="50"/>
  <c r="I157" i="50"/>
  <c r="H177" i="50" s="1"/>
  <c r="I177" i="50" s="1"/>
  <c r="J177" i="50" s="1"/>
  <c r="G108" i="50"/>
  <c r="H187" i="50"/>
  <c r="I147" i="49"/>
  <c r="H165" i="49" s="1"/>
  <c r="I165" i="49" s="1"/>
  <c r="J165" i="49" s="1"/>
  <c r="G104" i="49"/>
  <c r="J148" i="49"/>
  <c r="H137" i="49"/>
  <c r="H165" i="48"/>
  <c r="I165" i="48" s="1"/>
  <c r="J165" i="48" s="1"/>
  <c r="H175" i="48"/>
  <c r="J147" i="48"/>
  <c r="H136" i="48"/>
  <c r="H137" i="48"/>
  <c r="H168" i="47"/>
  <c r="H133" i="47"/>
  <c r="J143" i="46"/>
  <c r="H133" i="46"/>
  <c r="O109" i="44"/>
  <c r="K68" i="44"/>
  <c r="L68" i="44" s="1"/>
  <c r="J41" i="44"/>
  <c r="K41" i="44" s="1"/>
  <c r="J42" i="44"/>
  <c r="K42" i="44" s="1"/>
  <c r="J43" i="44"/>
  <c r="K43" i="44" s="1"/>
  <c r="H158" i="45"/>
  <c r="G158" i="45"/>
  <c r="K145" i="45"/>
  <c r="J145" i="45"/>
  <c r="I145" i="45"/>
  <c r="I155" i="45"/>
  <c r="G155" i="45"/>
  <c r="K142" i="45"/>
  <c r="J142" i="45"/>
  <c r="I142" i="45"/>
  <c r="K144" i="45"/>
  <c r="J144" i="45"/>
  <c r="G157" i="45"/>
  <c r="I144" i="45"/>
  <c r="G189" i="45"/>
  <c r="G222" i="45" s="1"/>
  <c r="K222" i="45" s="1"/>
  <c r="Q44" i="45"/>
  <c r="H156" i="45"/>
  <c r="G156" i="45"/>
  <c r="I143" i="45"/>
  <c r="K143" i="45"/>
  <c r="J143" i="45"/>
  <c r="G186" i="45"/>
  <c r="G219" i="45" s="1"/>
  <c r="K219" i="45" s="1"/>
  <c r="Q41" i="45"/>
  <c r="K67" i="44"/>
  <c r="L67" i="44" s="1"/>
  <c r="O110" i="44"/>
  <c r="G157" i="44"/>
  <c r="I144" i="44"/>
  <c r="K144" i="44"/>
  <c r="J144" i="44"/>
  <c r="K69" i="44"/>
  <c r="L69" i="44" s="1"/>
  <c r="G186" i="44"/>
  <c r="G220" i="44" s="1"/>
  <c r="K220" i="44" s="1"/>
  <c r="Q41" i="44"/>
  <c r="O108" i="44"/>
  <c r="K142" i="44"/>
  <c r="G155" i="44"/>
  <c r="I142" i="44"/>
  <c r="J142" i="44"/>
  <c r="G188" i="44"/>
  <c r="G222" i="44" s="1"/>
  <c r="K222" i="44" s="1"/>
  <c r="G156" i="44"/>
  <c r="I143" i="44"/>
  <c r="K143" i="44"/>
  <c r="J143" i="44"/>
  <c r="H202" i="22"/>
  <c r="H201" i="22"/>
  <c r="I204" i="22"/>
  <c r="H233" i="22" s="1"/>
  <c r="I233" i="22" s="1"/>
  <c r="J233" i="22" s="1"/>
  <c r="H205" i="22"/>
  <c r="H203" i="22"/>
  <c r="H250" i="22"/>
  <c r="H251" i="22"/>
  <c r="H204" i="22"/>
  <c r="H252" i="22"/>
  <c r="Q54" i="22"/>
  <c r="Q52" i="22"/>
  <c r="Q51" i="22"/>
  <c r="Q53" i="22"/>
  <c r="Q50" i="22"/>
  <c r="Q77" i="42"/>
  <c r="G426" i="42"/>
  <c r="G494" i="42" s="1"/>
  <c r="H428" i="42"/>
  <c r="Q78" i="42"/>
  <c r="G427" i="42"/>
  <c r="G495" i="42" s="1"/>
  <c r="H422" i="42"/>
  <c r="H416" i="42"/>
  <c r="H410" i="42"/>
  <c r="H413" i="42"/>
  <c r="Q68" i="42"/>
  <c r="G417" i="42"/>
  <c r="G485" i="42" s="1"/>
  <c r="Q74" i="42"/>
  <c r="G423" i="42"/>
  <c r="G491" i="42" s="1"/>
  <c r="Q65" i="42"/>
  <c r="G414" i="42"/>
  <c r="G482" i="42" s="1"/>
  <c r="H419" i="42"/>
  <c r="Q71" i="42"/>
  <c r="G420" i="42"/>
  <c r="G488" i="42" s="1"/>
  <c r="H421" i="42"/>
  <c r="Q62" i="42"/>
  <c r="G411" i="42"/>
  <c r="G479" i="42" s="1"/>
  <c r="H409" i="42"/>
  <c r="H424" i="42"/>
  <c r="H415" i="42"/>
  <c r="Q69" i="42"/>
  <c r="G418" i="42"/>
  <c r="G486" i="42" s="1"/>
  <c r="H412" i="42"/>
  <c r="H425" i="42"/>
  <c r="J280" i="42"/>
  <c r="G327" i="42"/>
  <c r="K280" i="42"/>
  <c r="K281" i="42"/>
  <c r="G328" i="42"/>
  <c r="K279" i="42"/>
  <c r="G326" i="42"/>
  <c r="K282" i="42"/>
  <c r="G329" i="42"/>
  <c r="J282" i="42"/>
  <c r="J266" i="42"/>
  <c r="G313" i="42"/>
  <c r="J269" i="42"/>
  <c r="G316" i="42"/>
  <c r="K264" i="42"/>
  <c r="G311" i="42"/>
  <c r="J272" i="42"/>
  <c r="G319" i="42"/>
  <c r="K268" i="42"/>
  <c r="G315" i="42"/>
  <c r="K267" i="42"/>
  <c r="G314" i="42"/>
  <c r="J274" i="42"/>
  <c r="G321" i="42"/>
  <c r="J278" i="42"/>
  <c r="G325" i="42"/>
  <c r="K275" i="42"/>
  <c r="G322" i="42"/>
  <c r="J270" i="42"/>
  <c r="G317" i="42"/>
  <c r="J268" i="42"/>
  <c r="J273" i="42"/>
  <c r="G320" i="42"/>
  <c r="K263" i="42"/>
  <c r="G310" i="42"/>
  <c r="J276" i="42"/>
  <c r="G323" i="42"/>
  <c r="J263" i="42"/>
  <c r="K120" i="42"/>
  <c r="L120" i="42" s="1"/>
  <c r="J281" i="42"/>
  <c r="J267" i="42"/>
  <c r="K276" i="42"/>
  <c r="K273" i="42"/>
  <c r="K278" i="42"/>
  <c r="K269" i="42"/>
  <c r="K270" i="42"/>
  <c r="K266" i="42"/>
  <c r="O214" i="42"/>
  <c r="E282" i="42"/>
  <c r="K274" i="42"/>
  <c r="K272" i="42"/>
  <c r="O210" i="42"/>
  <c r="E278" i="42"/>
  <c r="K265" i="42"/>
  <c r="J265" i="42"/>
  <c r="K277" i="42"/>
  <c r="J277" i="42"/>
  <c r="O196" i="42"/>
  <c r="E264" i="42"/>
  <c r="O195" i="42"/>
  <c r="E263" i="42"/>
  <c r="J264" i="42"/>
  <c r="K271" i="42"/>
  <c r="J271" i="42"/>
  <c r="O208" i="42"/>
  <c r="E276" i="42"/>
  <c r="J279" i="42"/>
  <c r="K125" i="42"/>
  <c r="L125" i="42" s="1"/>
  <c r="E200" i="42"/>
  <c r="K129" i="42"/>
  <c r="L129" i="42" s="1"/>
  <c r="E204" i="42"/>
  <c r="K134" i="42"/>
  <c r="L134" i="42" s="1"/>
  <c r="E209" i="42"/>
  <c r="K130" i="42"/>
  <c r="L130" i="42" s="1"/>
  <c r="E205" i="42"/>
  <c r="K131" i="42"/>
  <c r="L131" i="42" s="1"/>
  <c r="E206" i="42"/>
  <c r="K132" i="42"/>
  <c r="L132" i="42" s="1"/>
  <c r="E207" i="42"/>
  <c r="K138" i="42"/>
  <c r="L138" i="42" s="1"/>
  <c r="E213" i="42"/>
  <c r="K136" i="42"/>
  <c r="L136" i="42" s="1"/>
  <c r="E211" i="42"/>
  <c r="K122" i="42"/>
  <c r="L122" i="42" s="1"/>
  <c r="E197" i="42"/>
  <c r="K126" i="42"/>
  <c r="L126" i="42" s="1"/>
  <c r="E201" i="42"/>
  <c r="K127" i="42"/>
  <c r="L127" i="42" s="1"/>
  <c r="E202" i="42"/>
  <c r="K124" i="42"/>
  <c r="L124" i="42" s="1"/>
  <c r="E199" i="42"/>
  <c r="K128" i="42"/>
  <c r="L128" i="42" s="1"/>
  <c r="E203" i="42"/>
  <c r="K137" i="42"/>
  <c r="L137" i="42" s="1"/>
  <c r="E212" i="42"/>
  <c r="K123" i="42"/>
  <c r="L123" i="42" s="1"/>
  <c r="E198" i="42"/>
  <c r="K135" i="42"/>
  <c r="L135" i="42" s="1"/>
  <c r="K121" i="42"/>
  <c r="L121" i="42" s="1"/>
  <c r="K139" i="42"/>
  <c r="L139" i="42" s="1"/>
  <c r="K133" i="42"/>
  <c r="L133" i="42" s="1"/>
  <c r="J290" i="41"/>
  <c r="G339" i="41"/>
  <c r="K278" i="41"/>
  <c r="G327" i="41"/>
  <c r="K274" i="41"/>
  <c r="G323" i="41"/>
  <c r="J287" i="41"/>
  <c r="G336" i="41"/>
  <c r="K287" i="41"/>
  <c r="J279" i="41"/>
  <c r="G328" i="41"/>
  <c r="J289" i="41"/>
  <c r="G338" i="41"/>
  <c r="K128" i="41"/>
  <c r="K290" i="41"/>
  <c r="J278" i="41"/>
  <c r="J274" i="41"/>
  <c r="J281" i="41"/>
  <c r="K281" i="41"/>
  <c r="J280" i="41"/>
  <c r="K280" i="41"/>
  <c r="J283" i="41"/>
  <c r="K283" i="41"/>
  <c r="O205" i="41"/>
  <c r="E275" i="41"/>
  <c r="K282" i="41"/>
  <c r="J282" i="41"/>
  <c r="K286" i="41"/>
  <c r="J286" i="41"/>
  <c r="J277" i="41"/>
  <c r="K277" i="41"/>
  <c r="J285" i="41"/>
  <c r="J284" i="41"/>
  <c r="K288" i="41"/>
  <c r="J288" i="41"/>
  <c r="K276" i="41"/>
  <c r="J276" i="41"/>
  <c r="K275" i="41"/>
  <c r="J275" i="41"/>
  <c r="O210" i="41"/>
  <c r="E280" i="41"/>
  <c r="O211" i="41"/>
  <c r="E281" i="41"/>
  <c r="K284" i="41"/>
  <c r="K285" i="41"/>
  <c r="K135" i="41"/>
  <c r="L135" i="41" s="1"/>
  <c r="E212" i="41"/>
  <c r="K137" i="41"/>
  <c r="L137" i="41" s="1"/>
  <c r="E214" i="41"/>
  <c r="K143" i="41"/>
  <c r="L143" i="41" s="1"/>
  <c r="E220" i="41"/>
  <c r="K134" i="41"/>
  <c r="L134" i="41" s="1"/>
  <c r="K130" i="41"/>
  <c r="L130" i="41" s="1"/>
  <c r="E207" i="41"/>
  <c r="K139" i="41"/>
  <c r="L139" i="41" s="1"/>
  <c r="E216" i="41"/>
  <c r="K140" i="41"/>
  <c r="L140" i="41" s="1"/>
  <c r="E217" i="41"/>
  <c r="K127" i="41"/>
  <c r="L127" i="41" s="1"/>
  <c r="E204" i="41"/>
  <c r="K133" i="41"/>
  <c r="L133" i="41" s="1"/>
  <c r="K132" i="41"/>
  <c r="L132" i="41" s="1"/>
  <c r="E209" i="41"/>
  <c r="K142" i="41"/>
  <c r="L142" i="41" s="1"/>
  <c r="E219" i="41"/>
  <c r="K129" i="41"/>
  <c r="L129" i="41" s="1"/>
  <c r="E206" i="41"/>
  <c r="K141" i="41"/>
  <c r="L141" i="41" s="1"/>
  <c r="E218" i="41"/>
  <c r="K136" i="41"/>
  <c r="L136" i="41" s="1"/>
  <c r="E213" i="41"/>
  <c r="K131" i="41"/>
  <c r="L131" i="41" s="1"/>
  <c r="E208" i="41"/>
  <c r="K138" i="41"/>
  <c r="L138" i="41" s="1"/>
  <c r="E215" i="41"/>
  <c r="L128" i="41"/>
  <c r="F104" i="41"/>
  <c r="E181" i="41" s="1"/>
  <c r="E251" i="41" s="1"/>
  <c r="F300" i="41" s="1"/>
  <c r="G356" i="41" s="1"/>
  <c r="D473" i="41" s="1"/>
  <c r="P42" i="41"/>
  <c r="J183" i="22"/>
  <c r="G205" i="22"/>
  <c r="K181" i="22"/>
  <c r="G203" i="22"/>
  <c r="K180" i="22"/>
  <c r="J180" i="22"/>
  <c r="O138" i="22"/>
  <c r="E181" i="22"/>
  <c r="J182" i="22"/>
  <c r="K182" i="22"/>
  <c r="O140" i="22"/>
  <c r="E183" i="22"/>
  <c r="I182" i="22"/>
  <c r="G139" i="22"/>
  <c r="H182" i="22" s="1"/>
  <c r="K88" i="22"/>
  <c r="L88" i="22" s="1"/>
  <c r="K87" i="22"/>
  <c r="L87" i="22" s="1"/>
  <c r="E137" i="22"/>
  <c r="L86" i="22"/>
  <c r="K90" i="22"/>
  <c r="L90" i="22" s="1"/>
  <c r="K15" i="37"/>
  <c r="J104" i="42"/>
  <c r="I110" i="42"/>
  <c r="K110" i="42" s="1"/>
  <c r="I116" i="42"/>
  <c r="K116" i="42" s="1"/>
  <c r="D39" i="42"/>
  <c r="J116" i="42"/>
  <c r="J57" i="42"/>
  <c r="K57" i="42" s="1"/>
  <c r="H307" i="42" s="1"/>
  <c r="F102" i="42"/>
  <c r="E177" i="42" s="1"/>
  <c r="E245" i="42" s="1"/>
  <c r="F292" i="42" s="1"/>
  <c r="G346" i="42" s="1"/>
  <c r="D459" i="42" s="1"/>
  <c r="J42" i="42"/>
  <c r="K42" i="42" s="1"/>
  <c r="I105" i="42"/>
  <c r="K105" i="42" s="1"/>
  <c r="I111" i="42"/>
  <c r="K111" i="42" s="1"/>
  <c r="I117" i="42"/>
  <c r="K117" i="42" s="1"/>
  <c r="I107" i="42"/>
  <c r="K107" i="42" s="1"/>
  <c r="I113" i="42"/>
  <c r="K113" i="42" s="1"/>
  <c r="I102" i="42"/>
  <c r="I108" i="42"/>
  <c r="K108" i="42" s="1"/>
  <c r="I114" i="42"/>
  <c r="K114" i="42" s="1"/>
  <c r="P47" i="42"/>
  <c r="J44" i="42"/>
  <c r="K44" i="42" s="1"/>
  <c r="P46" i="42"/>
  <c r="P58" i="42"/>
  <c r="J50" i="42"/>
  <c r="K50" i="42" s="1"/>
  <c r="J45" i="42"/>
  <c r="K45" i="42" s="1"/>
  <c r="J47" i="42"/>
  <c r="K47" i="42" s="1"/>
  <c r="P45" i="42"/>
  <c r="P52" i="42"/>
  <c r="P57" i="42"/>
  <c r="P53" i="42"/>
  <c r="J51" i="42"/>
  <c r="K51" i="42" s="1"/>
  <c r="J53" i="42"/>
  <c r="K53" i="42" s="1"/>
  <c r="H303" i="42" s="1"/>
  <c r="P51" i="42"/>
  <c r="I103" i="42"/>
  <c r="K103" i="42" s="1"/>
  <c r="I106" i="42"/>
  <c r="K106" i="42" s="1"/>
  <c r="I109" i="42"/>
  <c r="K109" i="42" s="1"/>
  <c r="I112" i="42"/>
  <c r="K112" i="42" s="1"/>
  <c r="I115" i="42"/>
  <c r="K115" i="42" s="1"/>
  <c r="I118" i="42"/>
  <c r="K118" i="42" s="1"/>
  <c r="J56" i="42"/>
  <c r="K56" i="42" s="1"/>
  <c r="F259" i="42"/>
  <c r="K259" i="42" s="1"/>
  <c r="B177" i="42"/>
  <c r="B245" i="42" s="1"/>
  <c r="C292" i="42" s="1"/>
  <c r="D346" i="42" s="1"/>
  <c r="B190" i="42"/>
  <c r="B258" i="42" s="1"/>
  <c r="C305" i="42" s="1"/>
  <c r="D359" i="42" s="1"/>
  <c r="K104" i="42"/>
  <c r="G245" i="42"/>
  <c r="E459" i="42" s="1"/>
  <c r="G248" i="42"/>
  <c r="E462" i="42" s="1"/>
  <c r="O180" i="42"/>
  <c r="E397" i="42"/>
  <c r="C465" i="42" s="1"/>
  <c r="C183" i="42"/>
  <c r="C251" i="42" s="1"/>
  <c r="D298" i="42" s="1"/>
  <c r="E352" i="42" s="1"/>
  <c r="E399" i="42"/>
  <c r="C467" i="42" s="1"/>
  <c r="C185" i="42"/>
  <c r="C253" i="42" s="1"/>
  <c r="D300" i="42" s="1"/>
  <c r="E354" i="42" s="1"/>
  <c r="E401" i="42"/>
  <c r="C469" i="42" s="1"/>
  <c r="C187" i="42"/>
  <c r="C255" i="42" s="1"/>
  <c r="D302" i="42" s="1"/>
  <c r="E356" i="42" s="1"/>
  <c r="E402" i="42"/>
  <c r="C470" i="42" s="1"/>
  <c r="C188" i="42"/>
  <c r="C256" i="42" s="1"/>
  <c r="D303" i="42" s="1"/>
  <c r="E357" i="42" s="1"/>
  <c r="E404" i="42"/>
  <c r="C472" i="42" s="1"/>
  <c r="C190" i="42"/>
  <c r="C258" i="42" s="1"/>
  <c r="D305" i="42" s="1"/>
  <c r="E359" i="42" s="1"/>
  <c r="P42" i="42"/>
  <c r="J46" i="42"/>
  <c r="K46" i="42" s="1"/>
  <c r="P48" i="42"/>
  <c r="J52" i="42"/>
  <c r="K52" i="42" s="1"/>
  <c r="P54" i="42"/>
  <c r="J58" i="42"/>
  <c r="K58" i="42" s="1"/>
  <c r="F391" i="42"/>
  <c r="F459" i="42" s="1"/>
  <c r="F245" i="42"/>
  <c r="N102" i="42"/>
  <c r="F392" i="42"/>
  <c r="F460" i="42" s="1"/>
  <c r="F246" i="42"/>
  <c r="N103" i="42"/>
  <c r="F393" i="42"/>
  <c r="F461" i="42" s="1"/>
  <c r="F247" i="42"/>
  <c r="N104" i="42"/>
  <c r="F394" i="42"/>
  <c r="F462" i="42" s="1"/>
  <c r="F248" i="42"/>
  <c r="N105" i="42"/>
  <c r="F395" i="42"/>
  <c r="F463" i="42" s="1"/>
  <c r="F249" i="42"/>
  <c r="N106" i="42"/>
  <c r="F396" i="42"/>
  <c r="F464" i="42" s="1"/>
  <c r="F250" i="42"/>
  <c r="N107" i="42"/>
  <c r="F397" i="42"/>
  <c r="F465" i="42" s="1"/>
  <c r="F251" i="42"/>
  <c r="N108" i="42"/>
  <c r="F398" i="42"/>
  <c r="F466" i="42" s="1"/>
  <c r="F252" i="42"/>
  <c r="N109" i="42"/>
  <c r="F399" i="42"/>
  <c r="F467" i="42" s="1"/>
  <c r="F253" i="42"/>
  <c r="N110" i="42"/>
  <c r="F400" i="42"/>
  <c r="F468" i="42" s="1"/>
  <c r="F254" i="42"/>
  <c r="N111" i="42"/>
  <c r="F401" i="42"/>
  <c r="F469" i="42" s="1"/>
  <c r="F255" i="42"/>
  <c r="N112" i="42"/>
  <c r="F402" i="42"/>
  <c r="F470" i="42" s="1"/>
  <c r="F256" i="42"/>
  <c r="N113" i="42"/>
  <c r="F403" i="42"/>
  <c r="F471" i="42" s="1"/>
  <c r="F257" i="42"/>
  <c r="N114" i="42"/>
  <c r="F404" i="42"/>
  <c r="F472" i="42" s="1"/>
  <c r="F258" i="42"/>
  <c r="N115" i="42"/>
  <c r="N116" i="42"/>
  <c r="F406" i="42"/>
  <c r="F474" i="42" s="1"/>
  <c r="F260" i="42"/>
  <c r="N117" i="42"/>
  <c r="F407" i="42"/>
  <c r="F475" i="42" s="1"/>
  <c r="F261" i="42"/>
  <c r="N118" i="42"/>
  <c r="C178" i="42"/>
  <c r="C246" i="42" s="1"/>
  <c r="D293" i="42" s="1"/>
  <c r="E347" i="42" s="1"/>
  <c r="O178" i="42"/>
  <c r="C179" i="42"/>
  <c r="C247" i="42" s="1"/>
  <c r="D294" i="42" s="1"/>
  <c r="E348" i="42" s="1"/>
  <c r="B185" i="42"/>
  <c r="B253" i="42" s="1"/>
  <c r="C300" i="42" s="1"/>
  <c r="D354" i="42" s="1"/>
  <c r="E394" i="42"/>
  <c r="C462" i="42" s="1"/>
  <c r="C180" i="42"/>
  <c r="C248" i="42" s="1"/>
  <c r="D295" i="42" s="1"/>
  <c r="E349" i="42" s="1"/>
  <c r="E400" i="42"/>
  <c r="C468" i="42" s="1"/>
  <c r="C186" i="42"/>
  <c r="C254" i="42" s="1"/>
  <c r="D301" i="42" s="1"/>
  <c r="E355" i="42" s="1"/>
  <c r="E407" i="42"/>
  <c r="C475" i="42" s="1"/>
  <c r="C193" i="42"/>
  <c r="C261" i="42" s="1"/>
  <c r="D308" i="42" s="1"/>
  <c r="E362" i="42" s="1"/>
  <c r="D392" i="42"/>
  <c r="B460" i="42" s="1"/>
  <c r="B178" i="42"/>
  <c r="B246" i="42" s="1"/>
  <c r="C293" i="42" s="1"/>
  <c r="D347" i="42" s="1"/>
  <c r="G247" i="42"/>
  <c r="E461" i="42" s="1"/>
  <c r="O179" i="42"/>
  <c r="D394" i="42"/>
  <c r="B462" i="42" s="1"/>
  <c r="B180" i="42"/>
  <c r="B248" i="42" s="1"/>
  <c r="C295" i="42" s="1"/>
  <c r="D349" i="42" s="1"/>
  <c r="G249" i="42"/>
  <c r="E463" i="42" s="1"/>
  <c r="O181" i="42"/>
  <c r="D396" i="42"/>
  <c r="B464" i="42" s="1"/>
  <c r="B182" i="42"/>
  <c r="B250" i="42" s="1"/>
  <c r="C297" i="42" s="1"/>
  <c r="D351" i="42" s="1"/>
  <c r="G250" i="42"/>
  <c r="E464" i="42" s="1"/>
  <c r="O182" i="42"/>
  <c r="O183" i="42"/>
  <c r="G252" i="42"/>
  <c r="E466" i="42" s="1"/>
  <c r="O184" i="42"/>
  <c r="G253" i="42"/>
  <c r="E467" i="42" s="1"/>
  <c r="O185" i="42"/>
  <c r="D400" i="42"/>
  <c r="B468" i="42" s="1"/>
  <c r="B186" i="42"/>
  <c r="B254" i="42" s="1"/>
  <c r="C301" i="42" s="1"/>
  <c r="D355" i="42" s="1"/>
  <c r="G254" i="42"/>
  <c r="E468" i="42" s="1"/>
  <c r="O186" i="42"/>
  <c r="O187" i="42"/>
  <c r="D402" i="42"/>
  <c r="B470" i="42" s="1"/>
  <c r="B188" i="42"/>
  <c r="B256" i="42" s="1"/>
  <c r="C303" i="42" s="1"/>
  <c r="D357" i="42" s="1"/>
  <c r="G256" i="42"/>
  <c r="E470" i="42" s="1"/>
  <c r="O188" i="42"/>
  <c r="D403" i="42"/>
  <c r="B471" i="42" s="1"/>
  <c r="B189" i="42"/>
  <c r="B257" i="42" s="1"/>
  <c r="C304" i="42" s="1"/>
  <c r="D358" i="42" s="1"/>
  <c r="G257" i="42"/>
  <c r="E471" i="42" s="1"/>
  <c r="O189" i="42"/>
  <c r="G258" i="42"/>
  <c r="E472" i="42" s="1"/>
  <c r="O190" i="42"/>
  <c r="D405" i="42"/>
  <c r="B473" i="42" s="1"/>
  <c r="B191" i="42"/>
  <c r="B259" i="42" s="1"/>
  <c r="C306" i="42" s="1"/>
  <c r="D360" i="42" s="1"/>
  <c r="O191" i="42"/>
  <c r="G259" i="42"/>
  <c r="E473" i="42" s="1"/>
  <c r="D406" i="42"/>
  <c r="B474" i="42" s="1"/>
  <c r="B192" i="42"/>
  <c r="B260" i="42" s="1"/>
  <c r="C307" i="42" s="1"/>
  <c r="D361" i="42" s="1"/>
  <c r="G260" i="42"/>
  <c r="E474" i="42" s="1"/>
  <c r="O192" i="42"/>
  <c r="B193" i="42"/>
  <c r="B261" i="42" s="1"/>
  <c r="C308" i="42" s="1"/>
  <c r="D362" i="42" s="1"/>
  <c r="D407" i="42"/>
  <c r="B475" i="42" s="1"/>
  <c r="O193" i="42"/>
  <c r="G261" i="42"/>
  <c r="E475" i="42" s="1"/>
  <c r="C191" i="42"/>
  <c r="C259" i="42" s="1"/>
  <c r="D306" i="42" s="1"/>
  <c r="E360" i="42" s="1"/>
  <c r="E398" i="42"/>
  <c r="C466" i="42" s="1"/>
  <c r="C184" i="42"/>
  <c r="C252" i="42" s="1"/>
  <c r="D299" i="42" s="1"/>
  <c r="E353" i="42" s="1"/>
  <c r="E403" i="42"/>
  <c r="C471" i="42" s="1"/>
  <c r="C189" i="42"/>
  <c r="C257" i="42" s="1"/>
  <c r="D304" i="42" s="1"/>
  <c r="E358" i="42" s="1"/>
  <c r="J43" i="42"/>
  <c r="K43" i="42" s="1"/>
  <c r="J49" i="42"/>
  <c r="K49" i="42" s="1"/>
  <c r="J55" i="42"/>
  <c r="K55" i="42" s="1"/>
  <c r="C177" i="42"/>
  <c r="C245" i="42" s="1"/>
  <c r="D292" i="42" s="1"/>
  <c r="E346" i="42" s="1"/>
  <c r="B181" i="42"/>
  <c r="B249" i="42" s="1"/>
  <c r="C296" i="42" s="1"/>
  <c r="D350" i="42" s="1"/>
  <c r="B183" i="42"/>
  <c r="B251" i="42" s="1"/>
  <c r="C298" i="42" s="1"/>
  <c r="D352" i="42" s="1"/>
  <c r="B187" i="42"/>
  <c r="B255" i="42" s="1"/>
  <c r="C302" i="42" s="1"/>
  <c r="D356" i="42" s="1"/>
  <c r="E396" i="42"/>
  <c r="C464" i="42" s="1"/>
  <c r="C182" i="42"/>
  <c r="C250" i="42" s="1"/>
  <c r="D297" i="42" s="1"/>
  <c r="E351" i="42" s="1"/>
  <c r="P44" i="42"/>
  <c r="J48" i="42"/>
  <c r="K48" i="42" s="1"/>
  <c r="P50" i="42"/>
  <c r="J54" i="42"/>
  <c r="K54" i="42" s="1"/>
  <c r="P56" i="42"/>
  <c r="C181" i="42"/>
  <c r="C249" i="42" s="1"/>
  <c r="D296" i="42" s="1"/>
  <c r="E350" i="42" s="1"/>
  <c r="P43" i="42"/>
  <c r="P49" i="42"/>
  <c r="P55" i="42"/>
  <c r="B179" i="42"/>
  <c r="B247" i="42" s="1"/>
  <c r="C294" i="42" s="1"/>
  <c r="D348" i="42" s="1"/>
  <c r="C192" i="42"/>
  <c r="C260" i="42" s="1"/>
  <c r="D307" i="42" s="1"/>
  <c r="E361" i="42" s="1"/>
  <c r="G255" i="42"/>
  <c r="E469" i="42" s="1"/>
  <c r="D398" i="42"/>
  <c r="B466" i="42" s="1"/>
  <c r="F269" i="41"/>
  <c r="G318" i="41" s="1"/>
  <c r="F271" i="41"/>
  <c r="G320" i="41" s="1"/>
  <c r="F268" i="41"/>
  <c r="F272" i="41"/>
  <c r="G321" i="41" s="1"/>
  <c r="F270" i="41"/>
  <c r="G319" i="41" s="1"/>
  <c r="D272" i="41"/>
  <c r="E321" i="41" s="1"/>
  <c r="F267" i="41"/>
  <c r="G316" i="41" s="1"/>
  <c r="B272" i="41"/>
  <c r="F266" i="41"/>
  <c r="G315" i="41" s="1"/>
  <c r="F256" i="41"/>
  <c r="F254" i="41"/>
  <c r="F264" i="41"/>
  <c r="G313" i="41" s="1"/>
  <c r="F257" i="41"/>
  <c r="G306" i="41" s="1"/>
  <c r="F261" i="41"/>
  <c r="G310" i="41" s="1"/>
  <c r="F259" i="41"/>
  <c r="F252" i="41"/>
  <c r="G301" i="41" s="1"/>
  <c r="F263" i="41"/>
  <c r="G312" i="41" s="1"/>
  <c r="F253" i="41"/>
  <c r="F265" i="41"/>
  <c r="G314" i="41" s="1"/>
  <c r="F255" i="41"/>
  <c r="G304" i="41" s="1"/>
  <c r="F262" i="41"/>
  <c r="G311" i="41" s="1"/>
  <c r="F260" i="41"/>
  <c r="G309" i="41" s="1"/>
  <c r="F258" i="41"/>
  <c r="G307" i="41" s="1"/>
  <c r="O182" i="41"/>
  <c r="O197" i="41"/>
  <c r="C182" i="41"/>
  <c r="B182" i="41"/>
  <c r="J124" i="41"/>
  <c r="J123" i="41"/>
  <c r="J116" i="41"/>
  <c r="N118" i="41"/>
  <c r="I116" i="41"/>
  <c r="J115" i="41"/>
  <c r="N106" i="41"/>
  <c r="F109" i="41"/>
  <c r="E186" i="41" s="1"/>
  <c r="N124" i="41"/>
  <c r="N123" i="41"/>
  <c r="N117" i="41"/>
  <c r="N111" i="41"/>
  <c r="N105" i="41"/>
  <c r="N112" i="41"/>
  <c r="F122" i="41"/>
  <c r="E199" i="41" s="1"/>
  <c r="F118" i="41"/>
  <c r="E195" i="41" s="1"/>
  <c r="F117" i="41"/>
  <c r="N122" i="41"/>
  <c r="N110" i="41"/>
  <c r="J107" i="41"/>
  <c r="N121" i="41"/>
  <c r="N115" i="41"/>
  <c r="N109" i="41"/>
  <c r="J111" i="41"/>
  <c r="J110" i="41"/>
  <c r="I107" i="41"/>
  <c r="J106" i="41"/>
  <c r="J105" i="41"/>
  <c r="N120" i="41"/>
  <c r="N114" i="41"/>
  <c r="N108" i="41"/>
  <c r="J120" i="41"/>
  <c r="J119" i="41"/>
  <c r="J118" i="41"/>
  <c r="N125" i="41"/>
  <c r="N119" i="41"/>
  <c r="N113" i="41"/>
  <c r="J125" i="41"/>
  <c r="I122" i="41"/>
  <c r="K122" i="41" s="1"/>
  <c r="J117" i="41"/>
  <c r="F115" i="41"/>
  <c r="E192" i="41" s="1"/>
  <c r="I113" i="41"/>
  <c r="I109" i="41"/>
  <c r="F123" i="41"/>
  <c r="J121" i="41"/>
  <c r="F119" i="41"/>
  <c r="F114" i="41"/>
  <c r="J112" i="41"/>
  <c r="F110" i="41"/>
  <c r="F106" i="41"/>
  <c r="F113" i="41"/>
  <c r="E190" i="41" s="1"/>
  <c r="F108" i="41"/>
  <c r="E185" i="41" s="1"/>
  <c r="F125" i="41"/>
  <c r="F121" i="41"/>
  <c r="E198" i="41" s="1"/>
  <c r="J114" i="41"/>
  <c r="F112" i="41"/>
  <c r="F124" i="41"/>
  <c r="F116" i="41"/>
  <c r="F111" i="41"/>
  <c r="F107" i="41"/>
  <c r="J108" i="41"/>
  <c r="P50" i="41"/>
  <c r="J47" i="41"/>
  <c r="K47" i="41" s="1"/>
  <c r="P58" i="41"/>
  <c r="J63" i="41"/>
  <c r="K63" i="41" s="1"/>
  <c r="J43" i="41"/>
  <c r="K43" i="41" s="1"/>
  <c r="P59" i="41"/>
  <c r="P53" i="41"/>
  <c r="P49" i="41"/>
  <c r="P63" i="41"/>
  <c r="P51" i="41"/>
  <c r="J54" i="41"/>
  <c r="K54" i="41" s="1"/>
  <c r="J46" i="41"/>
  <c r="K46" i="41" s="1"/>
  <c r="J60" i="41"/>
  <c r="K60" i="41" s="1"/>
  <c r="P56" i="41"/>
  <c r="J52" i="41"/>
  <c r="K52" i="41" s="1"/>
  <c r="J45" i="41"/>
  <c r="K45" i="41" s="1"/>
  <c r="P55" i="41"/>
  <c r="J48" i="41"/>
  <c r="K48" i="41" s="1"/>
  <c r="P44" i="41"/>
  <c r="P61" i="41"/>
  <c r="P43" i="41"/>
  <c r="P60" i="41"/>
  <c r="P62" i="41"/>
  <c r="K36" i="37"/>
  <c r="K16" i="37"/>
  <c r="K14" i="37"/>
  <c r="D403" i="41"/>
  <c r="B473" i="41" s="1"/>
  <c r="J42" i="41"/>
  <c r="K42" i="41" s="1"/>
  <c r="D38" i="41"/>
  <c r="J58" i="41" s="1"/>
  <c r="K58" i="41" s="1"/>
  <c r="C181" i="41"/>
  <c r="C251" i="41" s="1"/>
  <c r="D300" i="41" s="1"/>
  <c r="E356" i="41" s="1"/>
  <c r="F251" i="41"/>
  <c r="I104" i="41"/>
  <c r="N104" i="41"/>
  <c r="F403" i="41"/>
  <c r="F473" i="41" s="1"/>
  <c r="G251" i="41"/>
  <c r="E473" i="41" s="1"/>
  <c r="E171" i="22"/>
  <c r="F193" i="22" s="1"/>
  <c r="G222" i="22" s="1"/>
  <c r="D285" i="22" s="1"/>
  <c r="K176" i="22"/>
  <c r="J176" i="22"/>
  <c r="I174" i="22"/>
  <c r="J174" i="22"/>
  <c r="F172" i="22"/>
  <c r="K174" i="22"/>
  <c r="F171" i="22"/>
  <c r="G193" i="22" s="1"/>
  <c r="F177" i="22"/>
  <c r="G199" i="22" s="1"/>
  <c r="N78" i="22"/>
  <c r="D246" i="22"/>
  <c r="B289" i="22" s="1"/>
  <c r="F244" i="22"/>
  <c r="F287" i="22" s="1"/>
  <c r="D242" i="22"/>
  <c r="B285" i="22" s="1"/>
  <c r="F248" i="22"/>
  <c r="F291" i="22" s="1"/>
  <c r="F246" i="22"/>
  <c r="F289" i="22" s="1"/>
  <c r="E248" i="22"/>
  <c r="C291" i="22" s="1"/>
  <c r="E246" i="22"/>
  <c r="C289" i="22" s="1"/>
  <c r="E244" i="22"/>
  <c r="C287" i="22" s="1"/>
  <c r="D248" i="22"/>
  <c r="B291" i="22" s="1"/>
  <c r="D244" i="22"/>
  <c r="B287" i="22" s="1"/>
  <c r="E242" i="22"/>
  <c r="C285" i="22" s="1"/>
  <c r="F247" i="22"/>
  <c r="F290" i="22" s="1"/>
  <c r="F245" i="22"/>
  <c r="F288" i="22" s="1"/>
  <c r="F243" i="22"/>
  <c r="F286" i="22" s="1"/>
  <c r="E247" i="22"/>
  <c r="C290" i="22" s="1"/>
  <c r="E245" i="22"/>
  <c r="C288" i="22" s="1"/>
  <c r="E243" i="22"/>
  <c r="C286" i="22" s="1"/>
  <c r="D247" i="22"/>
  <c r="B290" i="22" s="1"/>
  <c r="D245" i="22"/>
  <c r="B288" i="22" s="1"/>
  <c r="D243" i="22"/>
  <c r="B286" i="22" s="1"/>
  <c r="I78" i="22"/>
  <c r="K78" i="22" s="1"/>
  <c r="F175" i="22"/>
  <c r="F173" i="22"/>
  <c r="F79" i="22"/>
  <c r="E129" i="22" s="1"/>
  <c r="F83" i="22"/>
  <c r="E133" i="22" s="1"/>
  <c r="E176" i="22" s="1"/>
  <c r="I176" i="22" s="1"/>
  <c r="J78" i="22"/>
  <c r="J83" i="22"/>
  <c r="I83" i="22"/>
  <c r="I84" i="22"/>
  <c r="J84" i="22"/>
  <c r="I81" i="22"/>
  <c r="K81" i="22" s="1"/>
  <c r="J81" i="22"/>
  <c r="F84" i="22"/>
  <c r="E134" i="22" s="1"/>
  <c r="E177" i="22" s="1"/>
  <c r="I82" i="22"/>
  <c r="I80" i="22"/>
  <c r="K80" i="22" s="1"/>
  <c r="I79" i="22"/>
  <c r="F82" i="22"/>
  <c r="E132" i="22" s="1"/>
  <c r="E175" i="22" s="1"/>
  <c r="F197" i="22" s="1"/>
  <c r="G226" i="22" s="1"/>
  <c r="D289" i="22" s="1"/>
  <c r="P42" i="22"/>
  <c r="P44" i="22"/>
  <c r="P45" i="22"/>
  <c r="P46" i="22"/>
  <c r="P47" i="22"/>
  <c r="P43" i="22"/>
  <c r="P48" i="22"/>
  <c r="J473" i="41" l="1"/>
  <c r="I473" i="41"/>
  <c r="H254" i="22"/>
  <c r="G297" i="22"/>
  <c r="H166" i="48"/>
  <c r="I166" i="48" s="1"/>
  <c r="J166" i="48" s="1"/>
  <c r="J285" i="22"/>
  <c r="I285" i="22"/>
  <c r="J289" i="22"/>
  <c r="I289" i="22"/>
  <c r="J459" i="42"/>
  <c r="I459" i="42"/>
  <c r="I156" i="45"/>
  <c r="H253" i="22"/>
  <c r="G296" i="22"/>
  <c r="K296" i="22" s="1"/>
  <c r="H187" i="45"/>
  <c r="H187" i="44"/>
  <c r="G400" i="42"/>
  <c r="G468" i="42" s="1"/>
  <c r="K468" i="42" s="1"/>
  <c r="Q47" i="42"/>
  <c r="Q45" i="42"/>
  <c r="Q53" i="42"/>
  <c r="Q58" i="42"/>
  <c r="Q52" i="42"/>
  <c r="Q46" i="42"/>
  <c r="G246" i="22"/>
  <c r="G289" i="22" s="1"/>
  <c r="K289" i="22" s="1"/>
  <c r="R46" i="22"/>
  <c r="G245" i="22"/>
  <c r="G288" i="22" s="1"/>
  <c r="K288" i="22" s="1"/>
  <c r="R45" i="22"/>
  <c r="G247" i="22"/>
  <c r="G290" i="22" s="1"/>
  <c r="R47" i="22"/>
  <c r="G244" i="22"/>
  <c r="G287" i="22" s="1"/>
  <c r="K287" i="22" s="1"/>
  <c r="R44" i="22"/>
  <c r="G248" i="22"/>
  <c r="G291" i="22" s="1"/>
  <c r="R48" i="22"/>
  <c r="R42" i="22"/>
  <c r="G243" i="22"/>
  <c r="G286" i="22" s="1"/>
  <c r="R43" i="22"/>
  <c r="G405" i="41"/>
  <c r="G475" i="41" s="1"/>
  <c r="R44" i="41"/>
  <c r="G414" i="41"/>
  <c r="R53" i="41"/>
  <c r="G411" i="41"/>
  <c r="G481" i="41" s="1"/>
  <c r="R50" i="41"/>
  <c r="G422" i="41"/>
  <c r="G492" i="41" s="1"/>
  <c r="R61" i="41"/>
  <c r="G410" i="41"/>
  <c r="G480" i="41" s="1"/>
  <c r="R49" i="41"/>
  <c r="G423" i="41"/>
  <c r="R62" i="41"/>
  <c r="G416" i="41"/>
  <c r="G486" i="41" s="1"/>
  <c r="R55" i="41"/>
  <c r="G417" i="41"/>
  <c r="G487" i="41" s="1"/>
  <c r="R56" i="41"/>
  <c r="G420" i="41"/>
  <c r="G490" i="41" s="1"/>
  <c r="R59" i="41"/>
  <c r="G421" i="41"/>
  <c r="G491" i="41" s="1"/>
  <c r="R60" i="41"/>
  <c r="G412" i="41"/>
  <c r="G482" i="41" s="1"/>
  <c r="R51" i="41"/>
  <c r="G403" i="41"/>
  <c r="R42" i="41"/>
  <c r="G404" i="41"/>
  <c r="G474" i="41" s="1"/>
  <c r="K474" i="41" s="1"/>
  <c r="R43" i="41"/>
  <c r="G424" i="41"/>
  <c r="G494" i="41" s="1"/>
  <c r="R63" i="41"/>
  <c r="G419" i="41"/>
  <c r="G489" i="41" s="1"/>
  <c r="K489" i="41" s="1"/>
  <c r="R58" i="41"/>
  <c r="I155" i="44"/>
  <c r="J156" i="50"/>
  <c r="J204" i="22"/>
  <c r="H427" i="41"/>
  <c r="H433" i="41"/>
  <c r="H404" i="41"/>
  <c r="H413" i="41"/>
  <c r="H422" i="41"/>
  <c r="H417" i="41"/>
  <c r="H410" i="41"/>
  <c r="H432" i="41"/>
  <c r="H440" i="41"/>
  <c r="H406" i="41"/>
  <c r="H421" i="41"/>
  <c r="H405" i="41"/>
  <c r="H415" i="41"/>
  <c r="H409" i="41"/>
  <c r="H438" i="41"/>
  <c r="H408" i="41"/>
  <c r="I408" i="41"/>
  <c r="H439" i="41"/>
  <c r="H418" i="41"/>
  <c r="I418" i="41"/>
  <c r="H429" i="41"/>
  <c r="H407" i="41"/>
  <c r="H428" i="41"/>
  <c r="E145" i="44"/>
  <c r="I145" i="44" s="1"/>
  <c r="L145" i="44" s="1"/>
  <c r="O111" i="44"/>
  <c r="J148" i="51"/>
  <c r="K104" i="53"/>
  <c r="L136" i="53" s="1"/>
  <c r="K147" i="53" s="1"/>
  <c r="K104" i="52"/>
  <c r="L136" i="52" s="1"/>
  <c r="K147" i="52" s="1"/>
  <c r="K105" i="52"/>
  <c r="L105" i="52" s="1"/>
  <c r="J158" i="50"/>
  <c r="J155" i="50"/>
  <c r="J147" i="49"/>
  <c r="K102" i="47"/>
  <c r="G111" i="45"/>
  <c r="H178" i="45"/>
  <c r="I178" i="45" s="1"/>
  <c r="J178" i="45" s="1"/>
  <c r="I157" i="45"/>
  <c r="H177" i="45" s="1"/>
  <c r="I177" i="45" s="1"/>
  <c r="J177" i="45" s="1"/>
  <c r="G110" i="45"/>
  <c r="H144" i="45" s="1"/>
  <c r="H155" i="45"/>
  <c r="H175" i="45" s="1"/>
  <c r="I175" i="45" s="1"/>
  <c r="J175" i="45" s="1"/>
  <c r="J158" i="45"/>
  <c r="H189" i="44"/>
  <c r="G111" i="44"/>
  <c r="I158" i="44"/>
  <c r="H178" i="44" s="1"/>
  <c r="H136" i="53"/>
  <c r="H165" i="51"/>
  <c r="I165" i="51" s="1"/>
  <c r="J165" i="51" s="1"/>
  <c r="H136" i="51"/>
  <c r="J157" i="50"/>
  <c r="H142" i="50"/>
  <c r="H136" i="49"/>
  <c r="H155" i="44"/>
  <c r="H156" i="44"/>
  <c r="H157" i="44"/>
  <c r="J156" i="45"/>
  <c r="H189" i="45"/>
  <c r="H176" i="45"/>
  <c r="I176" i="45" s="1"/>
  <c r="J176" i="45" s="1"/>
  <c r="H186" i="45"/>
  <c r="H143" i="45"/>
  <c r="H142" i="45"/>
  <c r="J155" i="45"/>
  <c r="H145" i="45"/>
  <c r="G108" i="44"/>
  <c r="I157" i="44"/>
  <c r="G110" i="44"/>
  <c r="H188" i="44"/>
  <c r="H186" i="44"/>
  <c r="I156" i="44"/>
  <c r="G109" i="44"/>
  <c r="K139" i="22"/>
  <c r="H427" i="42"/>
  <c r="H426" i="42"/>
  <c r="H423" i="42"/>
  <c r="H411" i="42"/>
  <c r="H417" i="42"/>
  <c r="H418" i="42"/>
  <c r="H420" i="42"/>
  <c r="H414" i="42"/>
  <c r="G214" i="42"/>
  <c r="H282" i="42" s="1"/>
  <c r="I329" i="42"/>
  <c r="H383" i="42" s="1"/>
  <c r="G212" i="42"/>
  <c r="H280" i="42" s="1"/>
  <c r="I327" i="42"/>
  <c r="H381" i="42" s="1"/>
  <c r="G211" i="42"/>
  <c r="H279" i="42" s="1"/>
  <c r="I326" i="42"/>
  <c r="H380" i="42" s="1"/>
  <c r="G213" i="42"/>
  <c r="H281" i="42" s="1"/>
  <c r="I328" i="42"/>
  <c r="H382" i="42" s="1"/>
  <c r="I282" i="42"/>
  <c r="F329" i="42"/>
  <c r="G383" i="42" s="1"/>
  <c r="D496" i="42" s="1"/>
  <c r="I263" i="42"/>
  <c r="F310" i="42"/>
  <c r="G364" i="42" s="1"/>
  <c r="D477" i="42" s="1"/>
  <c r="G196" i="42"/>
  <c r="H264" i="42" s="1"/>
  <c r="I311" i="42"/>
  <c r="H365" i="42" s="1"/>
  <c r="G202" i="42"/>
  <c r="H270" i="42" s="1"/>
  <c r="I317" i="42"/>
  <c r="H371" i="42" s="1"/>
  <c r="G206" i="42"/>
  <c r="H274" i="42" s="1"/>
  <c r="I321" i="42"/>
  <c r="H375" i="42" s="1"/>
  <c r="G204" i="42"/>
  <c r="H272" i="42" s="1"/>
  <c r="I319" i="42"/>
  <c r="H373" i="42" s="1"/>
  <c r="I276" i="42"/>
  <c r="F323" i="42"/>
  <c r="G377" i="42" s="1"/>
  <c r="D490" i="42" s="1"/>
  <c r="G195" i="42"/>
  <c r="H263" i="42" s="1"/>
  <c r="I310" i="42"/>
  <c r="H364" i="42" s="1"/>
  <c r="I364" i="42" s="1"/>
  <c r="J364" i="42" s="1"/>
  <c r="I264" i="42"/>
  <c r="F311" i="42"/>
  <c r="I278" i="42"/>
  <c r="F325" i="42"/>
  <c r="G379" i="42" s="1"/>
  <c r="D492" i="42" s="1"/>
  <c r="G210" i="42"/>
  <c r="H278" i="42" s="1"/>
  <c r="I325" i="42"/>
  <c r="H379" i="42" s="1"/>
  <c r="G203" i="42"/>
  <c r="H271" i="42" s="1"/>
  <c r="I318" i="42"/>
  <c r="H372" i="42" s="1"/>
  <c r="G201" i="42"/>
  <c r="H269" i="42" s="1"/>
  <c r="I316" i="42"/>
  <c r="H370" i="42" s="1"/>
  <c r="G205" i="42"/>
  <c r="H273" i="42" s="1"/>
  <c r="I320" i="42"/>
  <c r="H374" i="42" s="1"/>
  <c r="G200" i="42"/>
  <c r="H268" i="42" s="1"/>
  <c r="I315" i="42"/>
  <c r="H369" i="42" s="1"/>
  <c r="G208" i="42"/>
  <c r="H276" i="42" s="1"/>
  <c r="I323" i="42"/>
  <c r="H377" i="42" s="1"/>
  <c r="G198" i="42"/>
  <c r="H266" i="42" s="1"/>
  <c r="I313" i="42"/>
  <c r="H367" i="42" s="1"/>
  <c r="G199" i="42"/>
  <c r="H267" i="42" s="1"/>
  <c r="I314" i="42"/>
  <c r="H368" i="42" s="1"/>
  <c r="G197" i="42"/>
  <c r="H265" i="42" s="1"/>
  <c r="I312" i="42"/>
  <c r="H366" i="42" s="1"/>
  <c r="G207" i="42"/>
  <c r="H275" i="42" s="1"/>
  <c r="I322" i="42"/>
  <c r="H376" i="42" s="1"/>
  <c r="G209" i="42"/>
  <c r="H277" i="42" s="1"/>
  <c r="I324" i="42"/>
  <c r="H378" i="42" s="1"/>
  <c r="O213" i="42"/>
  <c r="E281" i="42"/>
  <c r="O203" i="42"/>
  <c r="E271" i="42"/>
  <c r="O201" i="42"/>
  <c r="E269" i="42"/>
  <c r="O205" i="42"/>
  <c r="E273" i="42"/>
  <c r="O200" i="42"/>
  <c r="E268" i="42"/>
  <c r="O198" i="42"/>
  <c r="E266" i="42"/>
  <c r="O199" i="42"/>
  <c r="E267" i="42"/>
  <c r="O197" i="42"/>
  <c r="E265" i="42"/>
  <c r="O207" i="42"/>
  <c r="E275" i="42"/>
  <c r="O209" i="42"/>
  <c r="E277" i="42"/>
  <c r="O212" i="42"/>
  <c r="E280" i="42"/>
  <c r="O202" i="42"/>
  <c r="E270" i="42"/>
  <c r="O211" i="42"/>
  <c r="E279" i="42"/>
  <c r="O206" i="42"/>
  <c r="E274" i="42"/>
  <c r="O204" i="42"/>
  <c r="E272" i="42"/>
  <c r="I259" i="42"/>
  <c r="G208" i="41"/>
  <c r="H278" i="41" s="1"/>
  <c r="N278" i="41" s="1"/>
  <c r="I327" i="41"/>
  <c r="H383" i="41" s="1"/>
  <c r="G206" i="41"/>
  <c r="H276" i="41" s="1"/>
  <c r="N276" i="41" s="1"/>
  <c r="I325" i="41"/>
  <c r="H381" i="41" s="1"/>
  <c r="G214" i="41"/>
  <c r="H284" i="41" s="1"/>
  <c r="N284" i="41" s="1"/>
  <c r="I333" i="41"/>
  <c r="H389" i="41" s="1"/>
  <c r="I281" i="41"/>
  <c r="F330" i="41"/>
  <c r="G386" i="41" s="1"/>
  <c r="D503" i="41" s="1"/>
  <c r="I275" i="41"/>
  <c r="F324" i="41"/>
  <c r="G380" i="41" s="1"/>
  <c r="D497" i="41" s="1"/>
  <c r="G204" i="41"/>
  <c r="H274" i="41" s="1"/>
  <c r="N274" i="41" s="1"/>
  <c r="I323" i="41"/>
  <c r="H379" i="41" s="1"/>
  <c r="G207" i="41"/>
  <c r="H277" i="41" s="1"/>
  <c r="N277" i="41" s="1"/>
  <c r="I326" i="41"/>
  <c r="H382" i="41" s="1"/>
  <c r="G205" i="41"/>
  <c r="H275" i="41" s="1"/>
  <c r="N275" i="41" s="1"/>
  <c r="I324" i="41"/>
  <c r="H380" i="41" s="1"/>
  <c r="G213" i="41"/>
  <c r="H283" i="41" s="1"/>
  <c r="N283" i="41" s="1"/>
  <c r="I332" i="41"/>
  <c r="H388" i="41" s="1"/>
  <c r="G219" i="41"/>
  <c r="H289" i="41" s="1"/>
  <c r="N289" i="41" s="1"/>
  <c r="I338" i="41"/>
  <c r="H394" i="41" s="1"/>
  <c r="G211" i="41"/>
  <c r="H281" i="41" s="1"/>
  <c r="N281" i="41" s="1"/>
  <c r="I330" i="41"/>
  <c r="H386" i="41" s="1"/>
  <c r="G212" i="41"/>
  <c r="H282" i="41" s="1"/>
  <c r="N282" i="41" s="1"/>
  <c r="I331" i="41"/>
  <c r="H387" i="41" s="1"/>
  <c r="I280" i="41"/>
  <c r="F329" i="41"/>
  <c r="G385" i="41" s="1"/>
  <c r="D502" i="41" s="1"/>
  <c r="G217" i="41"/>
  <c r="H287" i="41" s="1"/>
  <c r="N287" i="41" s="1"/>
  <c r="I336" i="41"/>
  <c r="H392" i="41" s="1"/>
  <c r="G215" i="41"/>
  <c r="H285" i="41" s="1"/>
  <c r="N285" i="41" s="1"/>
  <c r="I334" i="41"/>
  <c r="H390" i="41" s="1"/>
  <c r="G218" i="41"/>
  <c r="H288" i="41" s="1"/>
  <c r="N288" i="41" s="1"/>
  <c r="I337" i="41"/>
  <c r="H393" i="41" s="1"/>
  <c r="G209" i="41"/>
  <c r="H279" i="41" s="1"/>
  <c r="N279" i="41" s="1"/>
  <c r="I328" i="41"/>
  <c r="H384" i="41" s="1"/>
  <c r="G220" i="41"/>
  <c r="H290" i="41" s="1"/>
  <c r="N290" i="41" s="1"/>
  <c r="I339" i="41"/>
  <c r="H395" i="41" s="1"/>
  <c r="G210" i="41"/>
  <c r="H280" i="41" s="1"/>
  <c r="N280" i="41" s="1"/>
  <c r="I329" i="41"/>
  <c r="H385" i="41" s="1"/>
  <c r="G216" i="41"/>
  <c r="H286" i="41" s="1"/>
  <c r="N286" i="41" s="1"/>
  <c r="I335" i="41"/>
  <c r="H391" i="41" s="1"/>
  <c r="O214" i="41"/>
  <c r="E284" i="41"/>
  <c r="O204" i="41"/>
  <c r="E274" i="41"/>
  <c r="O207" i="41"/>
  <c r="E277" i="41"/>
  <c r="K104" i="41"/>
  <c r="L104" i="41" s="1"/>
  <c r="O213" i="41"/>
  <c r="E283" i="41"/>
  <c r="O219" i="41"/>
  <c r="E289" i="41"/>
  <c r="O212" i="41"/>
  <c r="E282" i="41"/>
  <c r="O217" i="41"/>
  <c r="E287" i="41"/>
  <c r="O216" i="41"/>
  <c r="E286" i="41"/>
  <c r="O208" i="41"/>
  <c r="E278" i="41"/>
  <c r="O206" i="41"/>
  <c r="E276" i="41"/>
  <c r="O215" i="41"/>
  <c r="E285" i="41"/>
  <c r="O218" i="41"/>
  <c r="E288" i="41"/>
  <c r="O209" i="41"/>
  <c r="E279" i="41"/>
  <c r="O220" i="41"/>
  <c r="E290" i="41"/>
  <c r="O181" i="41"/>
  <c r="K266" i="41"/>
  <c r="G140" i="22"/>
  <c r="H183" i="22" s="1"/>
  <c r="I205" i="22"/>
  <c r="H234" i="22" s="1"/>
  <c r="I181" i="22"/>
  <c r="F203" i="22"/>
  <c r="G232" i="22" s="1"/>
  <c r="D295" i="22" s="1"/>
  <c r="G136" i="22"/>
  <c r="H179" i="22" s="1"/>
  <c r="I201" i="22"/>
  <c r="I183" i="22"/>
  <c r="F205" i="22"/>
  <c r="G137" i="22"/>
  <c r="H180" i="22" s="1"/>
  <c r="I202" i="22"/>
  <c r="H231" i="22" s="1"/>
  <c r="G138" i="22"/>
  <c r="H181" i="22" s="1"/>
  <c r="I203" i="22"/>
  <c r="H232" i="22" s="1"/>
  <c r="O137" i="22"/>
  <c r="E180" i="22"/>
  <c r="L104" i="42"/>
  <c r="G179" i="42" s="1"/>
  <c r="L114" i="42"/>
  <c r="G401" i="42"/>
  <c r="G469" i="42" s="1"/>
  <c r="K469" i="42" s="1"/>
  <c r="J259" i="42"/>
  <c r="G394" i="42"/>
  <c r="G462" i="42" s="1"/>
  <c r="K462" i="42" s="1"/>
  <c r="O177" i="42"/>
  <c r="K102" i="42"/>
  <c r="L102" i="42" s="1"/>
  <c r="G177" i="42" s="1"/>
  <c r="G396" i="42"/>
  <c r="G464" i="42" s="1"/>
  <c r="K464" i="42" s="1"/>
  <c r="G306" i="42"/>
  <c r="G395" i="42"/>
  <c r="G463" i="42" s="1"/>
  <c r="K463" i="42" s="1"/>
  <c r="Q51" i="42"/>
  <c r="L116" i="42"/>
  <c r="G191" i="42" s="1"/>
  <c r="L113" i="42"/>
  <c r="L111" i="42"/>
  <c r="G186" i="42" s="1"/>
  <c r="H254" i="42" s="1"/>
  <c r="G406" i="42"/>
  <c r="G474" i="42" s="1"/>
  <c r="K474" i="42" s="1"/>
  <c r="L117" i="42"/>
  <c r="G192" i="42" s="1"/>
  <c r="H260" i="42" s="1"/>
  <c r="H295" i="42"/>
  <c r="L118" i="42"/>
  <c r="I308" i="42" s="1"/>
  <c r="H297" i="42"/>
  <c r="L106" i="42"/>
  <c r="G181" i="42" s="1"/>
  <c r="G402" i="42"/>
  <c r="G470" i="42" s="1"/>
  <c r="K470" i="42" s="1"/>
  <c r="G407" i="42"/>
  <c r="G475" i="42" s="1"/>
  <c r="K475" i="42" s="1"/>
  <c r="L115" i="42"/>
  <c r="L105" i="42"/>
  <c r="G180" i="42" s="1"/>
  <c r="H248" i="42" s="1"/>
  <c r="L103" i="42"/>
  <c r="I293" i="42" s="1"/>
  <c r="Q57" i="42"/>
  <c r="H301" i="42"/>
  <c r="L109" i="42"/>
  <c r="G184" i="42" s="1"/>
  <c r="L107" i="42"/>
  <c r="I297" i="42" s="1"/>
  <c r="L112" i="42"/>
  <c r="L108" i="42"/>
  <c r="G183" i="42" s="1"/>
  <c r="H298" i="42"/>
  <c r="H299" i="42"/>
  <c r="H293" i="42"/>
  <c r="K254" i="42"/>
  <c r="G301" i="42"/>
  <c r="I254" i="42"/>
  <c r="J254" i="42"/>
  <c r="H296" i="42"/>
  <c r="H292" i="42"/>
  <c r="G303" i="42"/>
  <c r="I256" i="42"/>
  <c r="K256" i="42"/>
  <c r="J256" i="42"/>
  <c r="G392" i="42"/>
  <c r="G460" i="42" s="1"/>
  <c r="K460" i="42" s="1"/>
  <c r="Q43" i="42"/>
  <c r="G405" i="42"/>
  <c r="G473" i="42" s="1"/>
  <c r="K473" i="42" s="1"/>
  <c r="Q56" i="42"/>
  <c r="H294" i="42"/>
  <c r="G308" i="42"/>
  <c r="I261" i="42"/>
  <c r="K261" i="42"/>
  <c r="J261" i="42"/>
  <c r="G391" i="42"/>
  <c r="G459" i="42" s="1"/>
  <c r="K459" i="42" s="1"/>
  <c r="Q42" i="42"/>
  <c r="H305" i="42"/>
  <c r="H308" i="42"/>
  <c r="G404" i="42"/>
  <c r="G472" i="42" s="1"/>
  <c r="K472" i="42" s="1"/>
  <c r="Q55" i="42"/>
  <c r="G393" i="42"/>
  <c r="G461" i="42" s="1"/>
  <c r="K461" i="42" s="1"/>
  <c r="Q44" i="42"/>
  <c r="H300" i="42"/>
  <c r="G403" i="42"/>
  <c r="G471" i="42" s="1"/>
  <c r="K471" i="42" s="1"/>
  <c r="Q54" i="42"/>
  <c r="I246" i="42"/>
  <c r="G293" i="42"/>
  <c r="K246" i="42"/>
  <c r="J246" i="42"/>
  <c r="H304" i="42"/>
  <c r="H306" i="42"/>
  <c r="K260" i="42"/>
  <c r="G307" i="42"/>
  <c r="J260" i="42"/>
  <c r="I260" i="42"/>
  <c r="L110" i="42"/>
  <c r="G185" i="42" s="1"/>
  <c r="H302" i="42"/>
  <c r="I258" i="42"/>
  <c r="G305" i="42"/>
  <c r="K258" i="42"/>
  <c r="J258" i="42"/>
  <c r="I252" i="42"/>
  <c r="G299" i="42"/>
  <c r="J252" i="42"/>
  <c r="K252" i="42"/>
  <c r="G297" i="42"/>
  <c r="J250" i="42"/>
  <c r="I250" i="42"/>
  <c r="K250" i="42"/>
  <c r="K248" i="42"/>
  <c r="J248" i="42"/>
  <c r="G295" i="42"/>
  <c r="I248" i="42"/>
  <c r="G398" i="42"/>
  <c r="G466" i="42" s="1"/>
  <c r="K466" i="42" s="1"/>
  <c r="Q49" i="42"/>
  <c r="G399" i="42"/>
  <c r="G467" i="42" s="1"/>
  <c r="K467" i="42" s="1"/>
  <c r="Q50" i="42"/>
  <c r="G304" i="42"/>
  <c r="J257" i="42"/>
  <c r="K257" i="42"/>
  <c r="I257" i="42"/>
  <c r="G302" i="42"/>
  <c r="J255" i="42"/>
  <c r="K255" i="42"/>
  <c r="I255" i="42"/>
  <c r="G300" i="42"/>
  <c r="J253" i="42"/>
  <c r="K253" i="42"/>
  <c r="I253" i="42"/>
  <c r="G298" i="42"/>
  <c r="K251" i="42"/>
  <c r="J251" i="42"/>
  <c r="I251" i="42"/>
  <c r="G296" i="42"/>
  <c r="K249" i="42"/>
  <c r="J249" i="42"/>
  <c r="I249" i="42"/>
  <c r="J247" i="42"/>
  <c r="G294" i="42"/>
  <c r="K247" i="42"/>
  <c r="I247" i="42"/>
  <c r="G292" i="42"/>
  <c r="I245" i="42"/>
  <c r="K245" i="42"/>
  <c r="J245" i="42"/>
  <c r="G397" i="42"/>
  <c r="G465" i="42" s="1"/>
  <c r="K465" i="42" s="1"/>
  <c r="Q48" i="42"/>
  <c r="H318" i="41"/>
  <c r="H306" i="41"/>
  <c r="H312" i="41"/>
  <c r="H303" i="41"/>
  <c r="H301" i="41"/>
  <c r="H305" i="41"/>
  <c r="H304" i="41"/>
  <c r="H310" i="41"/>
  <c r="H321" i="41"/>
  <c r="H316" i="41"/>
  <c r="Q62" i="41"/>
  <c r="Q55" i="41"/>
  <c r="Q59" i="41"/>
  <c r="Q60" i="41"/>
  <c r="Q51" i="41"/>
  <c r="Q43" i="41"/>
  <c r="Q63" i="41"/>
  <c r="Q61" i="41"/>
  <c r="Q56" i="41"/>
  <c r="Q49" i="41"/>
  <c r="Q58" i="41"/>
  <c r="Q44" i="41"/>
  <c r="Q53" i="41"/>
  <c r="Q50" i="41"/>
  <c r="K272" i="41"/>
  <c r="K259" i="41"/>
  <c r="G308" i="41"/>
  <c r="J256" i="41"/>
  <c r="G305" i="41"/>
  <c r="K253" i="41"/>
  <c r="G302" i="41"/>
  <c r="C321" i="41"/>
  <c r="D377" i="41" s="1"/>
  <c r="J268" i="41"/>
  <c r="G317" i="41"/>
  <c r="J253" i="41"/>
  <c r="J257" i="41"/>
  <c r="J266" i="41"/>
  <c r="K254" i="41"/>
  <c r="G303" i="41"/>
  <c r="K268" i="41"/>
  <c r="J254" i="41"/>
  <c r="I267" i="41"/>
  <c r="J267" i="41"/>
  <c r="K267" i="41"/>
  <c r="J272" i="41"/>
  <c r="J271" i="41"/>
  <c r="K271" i="41"/>
  <c r="O199" i="41"/>
  <c r="E269" i="41"/>
  <c r="K270" i="41"/>
  <c r="J270" i="41"/>
  <c r="O198" i="41"/>
  <c r="E268" i="41"/>
  <c r="J269" i="41"/>
  <c r="K269" i="41"/>
  <c r="K256" i="41"/>
  <c r="O190" i="41"/>
  <c r="E260" i="41"/>
  <c r="F309" i="41" s="1"/>
  <c r="G365" i="41" s="1"/>
  <c r="D482" i="41" s="1"/>
  <c r="O195" i="41"/>
  <c r="E265" i="41"/>
  <c r="C252" i="41"/>
  <c r="J265" i="41"/>
  <c r="J263" i="41"/>
  <c r="J258" i="41"/>
  <c r="K258" i="41"/>
  <c r="J260" i="41"/>
  <c r="K260" i="41"/>
  <c r="J264" i="41"/>
  <c r="K264" i="41"/>
  <c r="K257" i="41"/>
  <c r="J262" i="41"/>
  <c r="K262" i="41"/>
  <c r="I252" i="41"/>
  <c r="K252" i="41"/>
  <c r="J252" i="41"/>
  <c r="K265" i="41"/>
  <c r="J259" i="41"/>
  <c r="O186" i="41"/>
  <c r="E256" i="41"/>
  <c r="O185" i="41"/>
  <c r="E255" i="41"/>
  <c r="O192" i="41"/>
  <c r="E262" i="41"/>
  <c r="B252" i="41"/>
  <c r="K263" i="41"/>
  <c r="K255" i="41"/>
  <c r="J255" i="41"/>
  <c r="K261" i="41"/>
  <c r="J261" i="41"/>
  <c r="K115" i="41"/>
  <c r="L115" i="41" s="1"/>
  <c r="K121" i="41"/>
  <c r="L121" i="41" s="1"/>
  <c r="K118" i="41"/>
  <c r="L118" i="41" s="1"/>
  <c r="K109" i="41"/>
  <c r="L109" i="41" s="1"/>
  <c r="K117" i="41"/>
  <c r="L117" i="41" s="1"/>
  <c r="E194" i="41"/>
  <c r="K111" i="41"/>
  <c r="L111" i="41" s="1"/>
  <c r="E188" i="41"/>
  <c r="K112" i="41"/>
  <c r="L112" i="41" s="1"/>
  <c r="E189" i="41"/>
  <c r="K114" i="41"/>
  <c r="L114" i="41" s="1"/>
  <c r="E191" i="41"/>
  <c r="K116" i="41"/>
  <c r="L116" i="41" s="1"/>
  <c r="E193" i="41"/>
  <c r="L120" i="41"/>
  <c r="K119" i="41"/>
  <c r="L119" i="41" s="1"/>
  <c r="E196" i="41"/>
  <c r="K124" i="41"/>
  <c r="L124" i="41" s="1"/>
  <c r="E201" i="41"/>
  <c r="K106" i="41"/>
  <c r="L106" i="41" s="1"/>
  <c r="E183" i="41"/>
  <c r="K125" i="41"/>
  <c r="L125" i="41" s="1"/>
  <c r="E202" i="41"/>
  <c r="K110" i="41"/>
  <c r="L110" i="41" s="1"/>
  <c r="E187" i="41"/>
  <c r="K123" i="41"/>
  <c r="L123" i="41" s="1"/>
  <c r="E200" i="41"/>
  <c r="K107" i="41"/>
  <c r="L107" i="41" s="1"/>
  <c r="E184" i="41"/>
  <c r="L105" i="41"/>
  <c r="L108" i="41"/>
  <c r="L122" i="41"/>
  <c r="K113" i="41"/>
  <c r="L113" i="41" s="1"/>
  <c r="J57" i="41"/>
  <c r="K57" i="41" s="1"/>
  <c r="Q42" i="41"/>
  <c r="H300" i="41"/>
  <c r="H403" i="41"/>
  <c r="K251" i="41"/>
  <c r="J251" i="41"/>
  <c r="I251" i="41"/>
  <c r="G300" i="41"/>
  <c r="G242" i="22"/>
  <c r="G285" i="22" s="1"/>
  <c r="K285" i="22" s="1"/>
  <c r="K171" i="22"/>
  <c r="J171" i="22"/>
  <c r="J172" i="22"/>
  <c r="G195" i="22"/>
  <c r="K173" i="22"/>
  <c r="J173" i="22"/>
  <c r="I173" i="22"/>
  <c r="G197" i="22"/>
  <c r="K175" i="22"/>
  <c r="J175" i="22"/>
  <c r="I175" i="22"/>
  <c r="J177" i="22"/>
  <c r="K177" i="22"/>
  <c r="H82" i="22"/>
  <c r="F132" i="22" s="1"/>
  <c r="Q46" i="22"/>
  <c r="Q44" i="22"/>
  <c r="Q43" i="22"/>
  <c r="H83" i="22"/>
  <c r="F133" i="22" s="1"/>
  <c r="Q48" i="22"/>
  <c r="Q47" i="22"/>
  <c r="H81" i="22"/>
  <c r="F131" i="22" s="1"/>
  <c r="Q45" i="22"/>
  <c r="Q42" i="22"/>
  <c r="K172" i="22"/>
  <c r="G194" i="22"/>
  <c r="F198" i="22"/>
  <c r="G227" i="22" s="1"/>
  <c r="D290" i="22" s="1"/>
  <c r="I177" i="22"/>
  <c r="F199" i="22"/>
  <c r="G228" i="22" s="1"/>
  <c r="D291" i="22" s="1"/>
  <c r="O129" i="22"/>
  <c r="E172" i="22"/>
  <c r="I172" i="22" s="1"/>
  <c r="I171" i="22"/>
  <c r="K79" i="22"/>
  <c r="K84" i="22"/>
  <c r="K83" i="22"/>
  <c r="K82" i="22"/>
  <c r="H400" i="42" l="1"/>
  <c r="H411" i="41"/>
  <c r="G175" i="22"/>
  <c r="E289" i="22"/>
  <c r="I490" i="42"/>
  <c r="J490" i="42"/>
  <c r="H423" i="41"/>
  <c r="G493" i="41"/>
  <c r="H414" i="41"/>
  <c r="G484" i="41"/>
  <c r="I482" i="41"/>
  <c r="J482" i="41"/>
  <c r="K482" i="41" s="1"/>
  <c r="O131" i="22"/>
  <c r="E288" i="22"/>
  <c r="H420" i="41"/>
  <c r="I421" i="41"/>
  <c r="H412" i="41"/>
  <c r="J295" i="22"/>
  <c r="K295" i="22" s="1"/>
  <c r="I295" i="22"/>
  <c r="I492" i="42"/>
  <c r="J492" i="42"/>
  <c r="K492" i="42" s="1"/>
  <c r="I477" i="42"/>
  <c r="J477" i="42"/>
  <c r="H416" i="41"/>
  <c r="I419" i="41"/>
  <c r="J291" i="22"/>
  <c r="K291" i="22" s="1"/>
  <c r="I291" i="22"/>
  <c r="I502" i="41"/>
  <c r="J502" i="41"/>
  <c r="K502" i="41" s="1"/>
  <c r="I497" i="41"/>
  <c r="J497" i="41"/>
  <c r="H419" i="41"/>
  <c r="J290" i="22"/>
  <c r="K290" i="22" s="1"/>
  <c r="I290" i="22"/>
  <c r="I496" i="42"/>
  <c r="J496" i="42"/>
  <c r="K496" i="42" s="1"/>
  <c r="H424" i="41"/>
  <c r="I403" i="41"/>
  <c r="G473" i="41"/>
  <c r="K473" i="41" s="1"/>
  <c r="G176" i="22"/>
  <c r="E290" i="22"/>
  <c r="I503" i="41"/>
  <c r="J503" i="41"/>
  <c r="I404" i="41"/>
  <c r="F158" i="44"/>
  <c r="G178" i="44" s="1"/>
  <c r="D223" i="44" s="1"/>
  <c r="H142" i="44"/>
  <c r="L111" i="44"/>
  <c r="I396" i="42"/>
  <c r="I394" i="42"/>
  <c r="H401" i="42"/>
  <c r="H407" i="42"/>
  <c r="H395" i="42"/>
  <c r="H406" i="42"/>
  <c r="H244" i="22"/>
  <c r="H243" i="22"/>
  <c r="H248" i="22"/>
  <c r="H247" i="22"/>
  <c r="H245" i="22"/>
  <c r="H242" i="22"/>
  <c r="R55" i="22"/>
  <c r="H246" i="22"/>
  <c r="R82" i="41"/>
  <c r="J155" i="44"/>
  <c r="K102" i="46"/>
  <c r="L133" i="46" s="1"/>
  <c r="K143" i="46" s="1"/>
  <c r="K105" i="53"/>
  <c r="L137" i="53" s="1"/>
  <c r="K148" i="53" s="1"/>
  <c r="L104" i="53"/>
  <c r="L104" i="52"/>
  <c r="L137" i="52"/>
  <c r="K148" i="52" s="1"/>
  <c r="K104" i="51"/>
  <c r="L136" i="51" s="1"/>
  <c r="K147" i="51" s="1"/>
  <c r="K105" i="51"/>
  <c r="K108" i="50"/>
  <c r="L142" i="50" s="1"/>
  <c r="K155" i="50" s="1"/>
  <c r="K111" i="50"/>
  <c r="L111" i="50" s="1"/>
  <c r="K110" i="50"/>
  <c r="L110" i="50" s="1"/>
  <c r="K109" i="50"/>
  <c r="K105" i="49"/>
  <c r="K104" i="49"/>
  <c r="L136" i="49" s="1"/>
  <c r="K147" i="49" s="1"/>
  <c r="K104" i="48"/>
  <c r="L104" i="48" s="1"/>
  <c r="K105" i="48"/>
  <c r="L137" i="48" s="1"/>
  <c r="K148" i="48" s="1"/>
  <c r="L133" i="47"/>
  <c r="K143" i="47" s="1"/>
  <c r="L102" i="47"/>
  <c r="H175" i="44"/>
  <c r="I175" i="44" s="1"/>
  <c r="J175" i="44" s="1"/>
  <c r="K108" i="45"/>
  <c r="J157" i="45"/>
  <c r="I178" i="44"/>
  <c r="J178" i="44" s="1"/>
  <c r="H145" i="44"/>
  <c r="J158" i="44"/>
  <c r="K158" i="44" s="1"/>
  <c r="H177" i="44"/>
  <c r="I177" i="44" s="1"/>
  <c r="J177" i="44" s="1"/>
  <c r="H176" i="44"/>
  <c r="I176" i="44" s="1"/>
  <c r="J176" i="44" s="1"/>
  <c r="J156" i="44"/>
  <c r="J157" i="44"/>
  <c r="H144" i="44"/>
  <c r="H143" i="44"/>
  <c r="I386" i="41"/>
  <c r="J386" i="41" s="1"/>
  <c r="K205" i="41"/>
  <c r="L205" i="41" s="1"/>
  <c r="J203" i="22"/>
  <c r="K195" i="42"/>
  <c r="L195" i="42" s="1"/>
  <c r="I377" i="42"/>
  <c r="J377" i="42" s="1"/>
  <c r="I383" i="42"/>
  <c r="J383" i="42" s="1"/>
  <c r="I379" i="42"/>
  <c r="J379" i="42" s="1"/>
  <c r="J311" i="42"/>
  <c r="G365" i="42"/>
  <c r="D478" i="42" s="1"/>
  <c r="J329" i="42"/>
  <c r="K210" i="42"/>
  <c r="L210" i="42" s="1"/>
  <c r="I280" i="42"/>
  <c r="F327" i="42"/>
  <c r="I281" i="42"/>
  <c r="F328" i="42"/>
  <c r="I279" i="42"/>
  <c r="F326" i="42"/>
  <c r="J325" i="42"/>
  <c r="J310" i="42"/>
  <c r="J323" i="42"/>
  <c r="I277" i="42"/>
  <c r="F324" i="42"/>
  <c r="I273" i="42"/>
  <c r="F320" i="42"/>
  <c r="I272" i="42"/>
  <c r="F319" i="42"/>
  <c r="I270" i="42"/>
  <c r="F317" i="42"/>
  <c r="I275" i="42"/>
  <c r="F322" i="42"/>
  <c r="I266" i="42"/>
  <c r="F313" i="42"/>
  <c r="I269" i="42"/>
  <c r="F316" i="42"/>
  <c r="I274" i="42"/>
  <c r="F321" i="42"/>
  <c r="I267" i="42"/>
  <c r="F314" i="42"/>
  <c r="I265" i="42"/>
  <c r="F312" i="42"/>
  <c r="I268" i="42"/>
  <c r="F315" i="42"/>
  <c r="I271" i="42"/>
  <c r="F318" i="42"/>
  <c r="I306" i="42"/>
  <c r="J306" i="42" s="1"/>
  <c r="I304" i="42"/>
  <c r="H358" i="42" s="1"/>
  <c r="I358" i="42" s="1"/>
  <c r="J358" i="42" s="1"/>
  <c r="G189" i="42"/>
  <c r="H257" i="42" s="1"/>
  <c r="I294" i="42"/>
  <c r="H348" i="42" s="1"/>
  <c r="I348" i="42" s="1"/>
  <c r="J348" i="42" s="1"/>
  <c r="I380" i="41"/>
  <c r="J380" i="41" s="1"/>
  <c r="I385" i="41"/>
  <c r="J385" i="41" s="1"/>
  <c r="J324" i="41"/>
  <c r="J330" i="41"/>
  <c r="I288" i="41"/>
  <c r="F337" i="41"/>
  <c r="I278" i="41"/>
  <c r="F327" i="41"/>
  <c r="I282" i="41"/>
  <c r="F331" i="41"/>
  <c r="I284" i="41"/>
  <c r="F333" i="41"/>
  <c r="I290" i="41"/>
  <c r="F339" i="41"/>
  <c r="I285" i="41"/>
  <c r="F334" i="41"/>
  <c r="I286" i="41"/>
  <c r="F335" i="41"/>
  <c r="I289" i="41"/>
  <c r="F338" i="41"/>
  <c r="I277" i="41"/>
  <c r="F326" i="41"/>
  <c r="K211" i="41"/>
  <c r="L211" i="41" s="1"/>
  <c r="I279" i="41"/>
  <c r="F328" i="41"/>
  <c r="I276" i="41"/>
  <c r="F325" i="41"/>
  <c r="I287" i="41"/>
  <c r="F336" i="41"/>
  <c r="I283" i="41"/>
  <c r="F332" i="41"/>
  <c r="I274" i="41"/>
  <c r="F323" i="41"/>
  <c r="J329" i="41"/>
  <c r="J205" i="22"/>
  <c r="G234" i="22"/>
  <c r="D297" i="22" s="1"/>
  <c r="I232" i="22"/>
  <c r="J232" i="22" s="1"/>
  <c r="J201" i="22"/>
  <c r="H230" i="22"/>
  <c r="I230" i="22" s="1"/>
  <c r="J230" i="22" s="1"/>
  <c r="I180" i="22"/>
  <c r="F202" i="22"/>
  <c r="I302" i="42"/>
  <c r="H356" i="42" s="1"/>
  <c r="I356" i="42" s="1"/>
  <c r="J356" i="42" s="1"/>
  <c r="G187" i="42"/>
  <c r="H255" i="42" s="1"/>
  <c r="H396" i="42"/>
  <c r="G190" i="42"/>
  <c r="H258" i="42" s="1"/>
  <c r="I395" i="42"/>
  <c r="G193" i="42"/>
  <c r="H261" i="42" s="1"/>
  <c r="G188" i="42"/>
  <c r="H256" i="42" s="1"/>
  <c r="I296" i="42"/>
  <c r="H350" i="42" s="1"/>
  <c r="I350" i="42" s="1"/>
  <c r="J350" i="42" s="1"/>
  <c r="I303" i="42"/>
  <c r="H357" i="42" s="1"/>
  <c r="I357" i="42" s="1"/>
  <c r="J357" i="42" s="1"/>
  <c r="H394" i="42"/>
  <c r="H402" i="42"/>
  <c r="I301" i="42"/>
  <c r="H355" i="42" s="1"/>
  <c r="I355" i="42" s="1"/>
  <c r="J355" i="42" s="1"/>
  <c r="I307" i="42"/>
  <c r="H361" i="42" s="1"/>
  <c r="I361" i="42" s="1"/>
  <c r="J361" i="42" s="1"/>
  <c r="G182" i="42"/>
  <c r="H250" i="42" s="1"/>
  <c r="I305" i="42"/>
  <c r="J305" i="42" s="1"/>
  <c r="I298" i="42"/>
  <c r="H352" i="42" s="1"/>
  <c r="I352" i="42" s="1"/>
  <c r="J352" i="42" s="1"/>
  <c r="G178" i="42"/>
  <c r="H246" i="42" s="1"/>
  <c r="I295" i="42"/>
  <c r="H349" i="42" s="1"/>
  <c r="I349" i="42" s="1"/>
  <c r="J349" i="42" s="1"/>
  <c r="J297" i="42"/>
  <c r="H347" i="42"/>
  <c r="I347" i="42" s="1"/>
  <c r="J347" i="42" s="1"/>
  <c r="H351" i="42"/>
  <c r="I351" i="42" s="1"/>
  <c r="J351" i="42" s="1"/>
  <c r="I299" i="42"/>
  <c r="H353" i="42" s="1"/>
  <c r="I353" i="42" s="1"/>
  <c r="J353" i="42" s="1"/>
  <c r="H253" i="42"/>
  <c r="H245" i="42"/>
  <c r="H252" i="42"/>
  <c r="H249" i="42"/>
  <c r="H362" i="42"/>
  <c r="I362" i="42" s="1"/>
  <c r="J362" i="42" s="1"/>
  <c r="H398" i="42"/>
  <c r="H405" i="42"/>
  <c r="I300" i="42"/>
  <c r="H354" i="42" s="1"/>
  <c r="I354" i="42" s="1"/>
  <c r="J354" i="42" s="1"/>
  <c r="H399" i="42"/>
  <c r="I393" i="42"/>
  <c r="H393" i="42"/>
  <c r="H404" i="42"/>
  <c r="J308" i="42"/>
  <c r="H247" i="42"/>
  <c r="H251" i="42"/>
  <c r="H397" i="42"/>
  <c r="J293" i="42"/>
  <c r="H403" i="42"/>
  <c r="I292" i="42"/>
  <c r="H346" i="42" s="1"/>
  <c r="I346" i="42" s="1"/>
  <c r="J346" i="42" s="1"/>
  <c r="H259" i="42"/>
  <c r="I391" i="42"/>
  <c r="H391" i="42"/>
  <c r="I392" i="42"/>
  <c r="H392" i="42"/>
  <c r="H315" i="41"/>
  <c r="I315" i="41"/>
  <c r="G199" i="41"/>
  <c r="H269" i="41" s="1"/>
  <c r="N269" i="41" s="1"/>
  <c r="I318" i="41"/>
  <c r="H374" i="41" s="1"/>
  <c r="G200" i="41"/>
  <c r="H270" i="41" s="1"/>
  <c r="N270" i="41" s="1"/>
  <c r="I319" i="41"/>
  <c r="H375" i="41" s="1"/>
  <c r="G183" i="41"/>
  <c r="H253" i="41" s="1"/>
  <c r="N253" i="41" s="1"/>
  <c r="I302" i="41"/>
  <c r="H358" i="41" s="1"/>
  <c r="I255" i="41"/>
  <c r="F304" i="41"/>
  <c r="G360" i="41" s="1"/>
  <c r="D477" i="41" s="1"/>
  <c r="G185" i="41"/>
  <c r="H255" i="41" s="1"/>
  <c r="N255" i="41" s="1"/>
  <c r="I304" i="41"/>
  <c r="H360" i="41" s="1"/>
  <c r="G193" i="41"/>
  <c r="H263" i="41" s="1"/>
  <c r="N263" i="41" s="1"/>
  <c r="I312" i="41"/>
  <c r="H368" i="41" s="1"/>
  <c r="G188" i="41"/>
  <c r="H258" i="41" s="1"/>
  <c r="N258" i="41" s="1"/>
  <c r="I307" i="41"/>
  <c r="H363" i="41" s="1"/>
  <c r="G182" i="41"/>
  <c r="H252" i="41" s="1"/>
  <c r="N252" i="41" s="1"/>
  <c r="I301" i="41"/>
  <c r="H357" i="41" s="1"/>
  <c r="I357" i="41" s="1"/>
  <c r="J357" i="41" s="1"/>
  <c r="G201" i="41"/>
  <c r="H271" i="41" s="1"/>
  <c r="N271" i="41" s="1"/>
  <c r="I320" i="41"/>
  <c r="H376" i="41" s="1"/>
  <c r="G191" i="41"/>
  <c r="H261" i="41" s="1"/>
  <c r="N261" i="41" s="1"/>
  <c r="I310" i="41"/>
  <c r="H366" i="41" s="1"/>
  <c r="G194" i="41"/>
  <c r="H264" i="41" s="1"/>
  <c r="N264" i="41" s="1"/>
  <c r="I313" i="41"/>
  <c r="H369" i="41" s="1"/>
  <c r="G192" i="41"/>
  <c r="H262" i="41" s="1"/>
  <c r="N262" i="41" s="1"/>
  <c r="I311" i="41"/>
  <c r="H367" i="41" s="1"/>
  <c r="C301" i="41"/>
  <c r="D357" i="41" s="1"/>
  <c r="D301" i="41"/>
  <c r="E357" i="41" s="1"/>
  <c r="I269" i="41"/>
  <c r="F318" i="41"/>
  <c r="G374" i="41" s="1"/>
  <c r="D491" i="41" s="1"/>
  <c r="G187" i="41"/>
  <c r="H257" i="41" s="1"/>
  <c r="N257" i="41" s="1"/>
  <c r="I306" i="41"/>
  <c r="H362" i="41" s="1"/>
  <c r="G198" i="41"/>
  <c r="H268" i="41" s="1"/>
  <c r="N268" i="41" s="1"/>
  <c r="I317" i="41"/>
  <c r="H373" i="41" s="1"/>
  <c r="I256" i="41"/>
  <c r="F305" i="41"/>
  <c r="G361" i="41" s="1"/>
  <c r="D478" i="41" s="1"/>
  <c r="G184" i="41"/>
  <c r="H254" i="41" s="1"/>
  <c r="N254" i="41" s="1"/>
  <c r="I303" i="41"/>
  <c r="H359" i="41" s="1"/>
  <c r="G202" i="41"/>
  <c r="H272" i="41" s="1"/>
  <c r="N272" i="41" s="1"/>
  <c r="I321" i="41"/>
  <c r="H377" i="41" s="1"/>
  <c r="G195" i="41"/>
  <c r="H265" i="41" s="1"/>
  <c r="N265" i="41" s="1"/>
  <c r="I314" i="41"/>
  <c r="H370" i="41" s="1"/>
  <c r="I262" i="41"/>
  <c r="F311" i="41"/>
  <c r="I260" i="41"/>
  <c r="I265" i="41"/>
  <c r="F314" i="41"/>
  <c r="G370" i="41" s="1"/>
  <c r="D487" i="41" s="1"/>
  <c r="G190" i="41"/>
  <c r="H260" i="41" s="1"/>
  <c r="N260" i="41" s="1"/>
  <c r="I309" i="41"/>
  <c r="G197" i="41"/>
  <c r="H267" i="41" s="1"/>
  <c r="N267" i="41" s="1"/>
  <c r="I316" i="41"/>
  <c r="G189" i="41"/>
  <c r="H259" i="41" s="1"/>
  <c r="N259" i="41" s="1"/>
  <c r="I308" i="41"/>
  <c r="H364" i="41" s="1"/>
  <c r="G186" i="41"/>
  <c r="H256" i="41" s="1"/>
  <c r="N256" i="41" s="1"/>
  <c r="I305" i="41"/>
  <c r="H361" i="41" s="1"/>
  <c r="I268" i="41"/>
  <c r="F317" i="41"/>
  <c r="G373" i="41" s="1"/>
  <c r="D490" i="41" s="1"/>
  <c r="O201" i="41"/>
  <c r="E271" i="41"/>
  <c r="O202" i="41"/>
  <c r="E272" i="41"/>
  <c r="F321" i="41" s="1"/>
  <c r="G377" i="41" s="1"/>
  <c r="D494" i="41" s="1"/>
  <c r="O200" i="41"/>
  <c r="E270" i="41"/>
  <c r="G196" i="41"/>
  <c r="H266" i="41" s="1"/>
  <c r="N266" i="41" s="1"/>
  <c r="O184" i="41"/>
  <c r="E254" i="41"/>
  <c r="O196" i="41"/>
  <c r="E266" i="41"/>
  <c r="O189" i="41"/>
  <c r="E259" i="41"/>
  <c r="O183" i="41"/>
  <c r="E253" i="41"/>
  <c r="F302" i="41" s="1"/>
  <c r="G358" i="41" s="1"/>
  <c r="D475" i="41" s="1"/>
  <c r="O187" i="41"/>
  <c r="E257" i="41"/>
  <c r="O193" i="41"/>
  <c r="E263" i="41"/>
  <c r="O188" i="41"/>
  <c r="E258" i="41"/>
  <c r="O191" i="41"/>
  <c r="E261" i="41"/>
  <c r="O194" i="41"/>
  <c r="E264" i="41"/>
  <c r="I300" i="41"/>
  <c r="H356" i="41" s="1"/>
  <c r="I356" i="41" s="1"/>
  <c r="J356" i="41" s="1"/>
  <c r="H251" i="41"/>
  <c r="N251" i="41" s="1"/>
  <c r="I242" i="22"/>
  <c r="G174" i="22"/>
  <c r="O132" i="22"/>
  <c r="O133" i="22"/>
  <c r="H80" i="22"/>
  <c r="F130" i="22" s="1"/>
  <c r="H84" i="22"/>
  <c r="F134" i="22" s="1"/>
  <c r="H78" i="22"/>
  <c r="F128" i="22" s="1"/>
  <c r="F194" i="22"/>
  <c r="G223" i="22" s="1"/>
  <c r="D286" i="22" s="1"/>
  <c r="I487" i="41" l="1"/>
  <c r="J487" i="41"/>
  <c r="K487" i="41" s="1"/>
  <c r="I494" i="41"/>
  <c r="J494" i="41"/>
  <c r="K494" i="41" s="1"/>
  <c r="J297" i="22"/>
  <c r="I297" i="22"/>
  <c r="K477" i="42"/>
  <c r="I286" i="22"/>
  <c r="J286" i="22"/>
  <c r="K286" i="22" s="1"/>
  <c r="I478" i="41"/>
  <c r="J478" i="41"/>
  <c r="K478" i="41" s="1"/>
  <c r="I491" i="41"/>
  <c r="J491" i="41"/>
  <c r="K491" i="41" s="1"/>
  <c r="G177" i="22"/>
  <c r="E291" i="22"/>
  <c r="I477" i="41"/>
  <c r="J477" i="41"/>
  <c r="K477" i="41" s="1"/>
  <c r="I478" i="42"/>
  <c r="J478" i="42"/>
  <c r="K478" i="42" s="1"/>
  <c r="I223" i="44"/>
  <c r="J223" i="44"/>
  <c r="K223" i="44" s="1"/>
  <c r="I490" i="41"/>
  <c r="J490" i="41"/>
  <c r="O128" i="22"/>
  <c r="E285" i="22"/>
  <c r="G173" i="22"/>
  <c r="E287" i="22"/>
  <c r="I475" i="41"/>
  <c r="J475" i="41"/>
  <c r="K475" i="41" s="1"/>
  <c r="K503" i="41"/>
  <c r="K497" i="41"/>
  <c r="K490" i="42"/>
  <c r="L108" i="50"/>
  <c r="I365" i="42"/>
  <c r="J365" i="42" s="1"/>
  <c r="I234" i="22"/>
  <c r="J234" i="22" s="1"/>
  <c r="L145" i="50"/>
  <c r="K158" i="50" s="1"/>
  <c r="L142" i="45"/>
  <c r="K155" i="45" s="1"/>
  <c r="L105" i="53"/>
  <c r="L104" i="51"/>
  <c r="L137" i="51"/>
  <c r="K148" i="51" s="1"/>
  <c r="L105" i="51"/>
  <c r="L144" i="50"/>
  <c r="K157" i="50" s="1"/>
  <c r="L143" i="50"/>
  <c r="K156" i="50" s="1"/>
  <c r="L109" i="50"/>
  <c r="L137" i="49"/>
  <c r="K148" i="49" s="1"/>
  <c r="L105" i="49"/>
  <c r="L104" i="49"/>
  <c r="L105" i="48"/>
  <c r="L136" i="48"/>
  <c r="K147" i="48" s="1"/>
  <c r="K109" i="44"/>
  <c r="L143" i="44" s="1"/>
  <c r="K156" i="44" s="1"/>
  <c r="L102" i="46"/>
  <c r="K110" i="45"/>
  <c r="L110" i="45" s="1"/>
  <c r="K109" i="45"/>
  <c r="L109" i="45" s="1"/>
  <c r="K111" i="45"/>
  <c r="L111" i="45" s="1"/>
  <c r="L108" i="45"/>
  <c r="K110" i="44"/>
  <c r="L144" i="44" s="1"/>
  <c r="K157" i="44" s="1"/>
  <c r="K138" i="22"/>
  <c r="K210" i="41"/>
  <c r="L210" i="41" s="1"/>
  <c r="J319" i="42"/>
  <c r="G373" i="42"/>
  <c r="D486" i="42" s="1"/>
  <c r="J321" i="42"/>
  <c r="G375" i="42"/>
  <c r="D488" i="42" s="1"/>
  <c r="J322" i="42"/>
  <c r="G376" i="42"/>
  <c r="D489" i="42" s="1"/>
  <c r="J312" i="42"/>
  <c r="G366" i="42"/>
  <c r="D479" i="42" s="1"/>
  <c r="J320" i="42"/>
  <c r="G374" i="42"/>
  <c r="D487" i="42" s="1"/>
  <c r="J328" i="42"/>
  <c r="G382" i="42"/>
  <c r="J315" i="42"/>
  <c r="G369" i="42"/>
  <c r="D482" i="42" s="1"/>
  <c r="J316" i="42"/>
  <c r="G370" i="42"/>
  <c r="D483" i="42" s="1"/>
  <c r="J318" i="42"/>
  <c r="G372" i="42"/>
  <c r="D485" i="42" s="1"/>
  <c r="J317" i="42"/>
  <c r="G371" i="42"/>
  <c r="D484" i="42" s="1"/>
  <c r="J324" i="42"/>
  <c r="G378" i="42"/>
  <c r="D491" i="42" s="1"/>
  <c r="J327" i="42"/>
  <c r="G381" i="42"/>
  <c r="D494" i="42" s="1"/>
  <c r="J314" i="42"/>
  <c r="G368" i="42"/>
  <c r="D481" i="42" s="1"/>
  <c r="J313" i="42"/>
  <c r="G367" i="42"/>
  <c r="D480" i="42" s="1"/>
  <c r="J326" i="42"/>
  <c r="G380" i="42"/>
  <c r="D493" i="42" s="1"/>
  <c r="K214" i="42"/>
  <c r="L214" i="42" s="1"/>
  <c r="K208" i="42"/>
  <c r="L208" i="42" s="1"/>
  <c r="H360" i="42"/>
  <c r="I360" i="42" s="1"/>
  <c r="J360" i="42" s="1"/>
  <c r="J304" i="42"/>
  <c r="K196" i="42"/>
  <c r="L196" i="42" s="1"/>
  <c r="L278" i="42"/>
  <c r="K325" i="42" s="1"/>
  <c r="L263" i="42"/>
  <c r="K310" i="42" s="1"/>
  <c r="J294" i="42"/>
  <c r="J302" i="42"/>
  <c r="J338" i="41"/>
  <c r="G394" i="41"/>
  <c r="J336" i="41"/>
  <c r="G392" i="41"/>
  <c r="J339" i="41"/>
  <c r="G395" i="41"/>
  <c r="J337" i="41"/>
  <c r="G393" i="41"/>
  <c r="J323" i="41"/>
  <c r="G379" i="41"/>
  <c r="J325" i="41"/>
  <c r="G381" i="41"/>
  <c r="J326" i="41"/>
  <c r="G382" i="41"/>
  <c r="J334" i="41"/>
  <c r="G390" i="41"/>
  <c r="J333" i="41"/>
  <c r="G389" i="41"/>
  <c r="J331" i="41"/>
  <c r="G387" i="41"/>
  <c r="J332" i="41"/>
  <c r="G388" i="41"/>
  <c r="J328" i="41"/>
  <c r="G384" i="41"/>
  <c r="J335" i="41"/>
  <c r="G391" i="41"/>
  <c r="J327" i="41"/>
  <c r="G383" i="41"/>
  <c r="K181" i="41"/>
  <c r="L181" i="41" s="1"/>
  <c r="K190" i="41"/>
  <c r="L190" i="41" s="1"/>
  <c r="L281" i="41"/>
  <c r="K330" i="41" s="1"/>
  <c r="L275" i="41"/>
  <c r="K324" i="41" s="1"/>
  <c r="H371" i="41"/>
  <c r="K140" i="22"/>
  <c r="J202" i="22"/>
  <c r="G231" i="22"/>
  <c r="D294" i="22" s="1"/>
  <c r="K136" i="22"/>
  <c r="H359" i="42"/>
  <c r="I359" i="42" s="1"/>
  <c r="J359" i="42" s="1"/>
  <c r="J296" i="42"/>
  <c r="J301" i="42"/>
  <c r="J303" i="42"/>
  <c r="J307" i="42"/>
  <c r="J299" i="42"/>
  <c r="J298" i="42"/>
  <c r="J295" i="42"/>
  <c r="J292" i="42"/>
  <c r="J300" i="42"/>
  <c r="I361" i="41"/>
  <c r="J361" i="41" s="1"/>
  <c r="I374" i="41"/>
  <c r="J374" i="41" s="1"/>
  <c r="I370" i="41"/>
  <c r="J370" i="41" s="1"/>
  <c r="I373" i="41"/>
  <c r="J373" i="41" s="1"/>
  <c r="J316" i="41"/>
  <c r="H372" i="41"/>
  <c r="I372" i="41" s="1"/>
  <c r="J372" i="41" s="1"/>
  <c r="I377" i="41"/>
  <c r="J377" i="41" s="1"/>
  <c r="J311" i="41"/>
  <c r="G367" i="41"/>
  <c r="I358" i="41"/>
  <c r="J358" i="41" s="1"/>
  <c r="J309" i="41"/>
  <c r="H365" i="41"/>
  <c r="I365" i="41" s="1"/>
  <c r="J365" i="41" s="1"/>
  <c r="I360" i="41"/>
  <c r="J360" i="41" s="1"/>
  <c r="J305" i="41"/>
  <c r="J317" i="41"/>
  <c r="J321" i="41"/>
  <c r="J304" i="41"/>
  <c r="J302" i="41"/>
  <c r="J314" i="41"/>
  <c r="I264" i="41"/>
  <c r="F313" i="41"/>
  <c r="I263" i="41"/>
  <c r="F312" i="41"/>
  <c r="G368" i="41" s="1"/>
  <c r="I271" i="41"/>
  <c r="F320" i="41"/>
  <c r="J318" i="41"/>
  <c r="I258" i="41"/>
  <c r="F307" i="41"/>
  <c r="I254" i="41"/>
  <c r="F303" i="41"/>
  <c r="J301" i="41"/>
  <c r="I259" i="41"/>
  <c r="F308" i="41"/>
  <c r="I270" i="41"/>
  <c r="F319" i="41"/>
  <c r="K195" i="41"/>
  <c r="L195" i="41" s="1"/>
  <c r="I261" i="41"/>
  <c r="F310" i="41"/>
  <c r="I257" i="41"/>
  <c r="F306" i="41"/>
  <c r="J312" i="41"/>
  <c r="I266" i="41"/>
  <c r="F315" i="41"/>
  <c r="I272" i="41"/>
  <c r="K186" i="41"/>
  <c r="L186" i="41" s="1"/>
  <c r="I253" i="41"/>
  <c r="J300" i="41"/>
  <c r="G171" i="22"/>
  <c r="O134" i="22"/>
  <c r="O130" i="22"/>
  <c r="I484" i="42" l="1"/>
  <c r="J484" i="42"/>
  <c r="K484" i="42" s="1"/>
  <c r="J294" i="22"/>
  <c r="I294" i="22"/>
  <c r="I383" i="41"/>
  <c r="J383" i="41" s="1"/>
  <c r="D500" i="41"/>
  <c r="I387" i="41"/>
  <c r="J387" i="41" s="1"/>
  <c r="D504" i="41"/>
  <c r="I381" i="41"/>
  <c r="J381" i="41" s="1"/>
  <c r="D498" i="41"/>
  <c r="I392" i="41"/>
  <c r="J392" i="41" s="1"/>
  <c r="D509" i="41"/>
  <c r="I488" i="42"/>
  <c r="J488" i="42"/>
  <c r="J481" i="42"/>
  <c r="K481" i="42" s="1"/>
  <c r="I481" i="42"/>
  <c r="I485" i="42"/>
  <c r="J485" i="42"/>
  <c r="I487" i="42"/>
  <c r="J487" i="42"/>
  <c r="I486" i="42"/>
  <c r="J486" i="42"/>
  <c r="K297" i="22"/>
  <c r="I480" i="42"/>
  <c r="J480" i="42"/>
  <c r="I382" i="42"/>
  <c r="J382" i="42" s="1"/>
  <c r="D495" i="42"/>
  <c r="I391" i="41"/>
  <c r="J391" i="41" s="1"/>
  <c r="D508" i="41"/>
  <c r="I389" i="41"/>
  <c r="J389" i="41" s="1"/>
  <c r="D506" i="41"/>
  <c r="I379" i="41"/>
  <c r="J379" i="41" s="1"/>
  <c r="D496" i="41"/>
  <c r="I394" i="41"/>
  <c r="J394" i="41" s="1"/>
  <c r="D511" i="41"/>
  <c r="I494" i="42"/>
  <c r="J494" i="42"/>
  <c r="J483" i="42"/>
  <c r="I483" i="42"/>
  <c r="I479" i="42"/>
  <c r="J479" i="42"/>
  <c r="I367" i="41"/>
  <c r="J367" i="41" s="1"/>
  <c r="D484" i="41"/>
  <c r="I384" i="41"/>
  <c r="J384" i="41" s="1"/>
  <c r="D501" i="41"/>
  <c r="I390" i="41"/>
  <c r="J390" i="41" s="1"/>
  <c r="D507" i="41"/>
  <c r="I393" i="41"/>
  <c r="J393" i="41" s="1"/>
  <c r="D510" i="41"/>
  <c r="I493" i="42"/>
  <c r="J493" i="42"/>
  <c r="K493" i="42" s="1"/>
  <c r="J491" i="42"/>
  <c r="K491" i="42" s="1"/>
  <c r="I491" i="42"/>
  <c r="I482" i="42"/>
  <c r="J482" i="42"/>
  <c r="K482" i="42" s="1"/>
  <c r="J489" i="42"/>
  <c r="K489" i="42" s="1"/>
  <c r="I489" i="42"/>
  <c r="I368" i="41"/>
  <c r="J368" i="41" s="1"/>
  <c r="D485" i="41"/>
  <c r="I388" i="41"/>
  <c r="J388" i="41" s="1"/>
  <c r="D505" i="41"/>
  <c r="I382" i="41"/>
  <c r="J382" i="41" s="1"/>
  <c r="D499" i="41"/>
  <c r="I395" i="41"/>
  <c r="J395" i="41" s="1"/>
  <c r="D512" i="41"/>
  <c r="K490" i="41"/>
  <c r="I367" i="42"/>
  <c r="J367" i="42" s="1"/>
  <c r="I378" i="42"/>
  <c r="J378" i="42" s="1"/>
  <c r="I370" i="42"/>
  <c r="J370" i="42" s="1"/>
  <c r="I374" i="42"/>
  <c r="J374" i="42" s="1"/>
  <c r="I375" i="42"/>
  <c r="J375" i="42" s="1"/>
  <c r="I368" i="42"/>
  <c r="J368" i="42" s="1"/>
  <c r="I371" i="42"/>
  <c r="J371" i="42" s="1"/>
  <c r="I369" i="42"/>
  <c r="J369" i="42" s="1"/>
  <c r="I366" i="42"/>
  <c r="J366" i="42" s="1"/>
  <c r="I373" i="42"/>
  <c r="J373" i="42" s="1"/>
  <c r="I380" i="42"/>
  <c r="J380" i="42" s="1"/>
  <c r="I381" i="42"/>
  <c r="J381" i="42" s="1"/>
  <c r="I372" i="42"/>
  <c r="J372" i="42" s="1"/>
  <c r="I376" i="42"/>
  <c r="J376" i="42" s="1"/>
  <c r="I231" i="22"/>
  <c r="J231" i="22" s="1"/>
  <c r="L109" i="44"/>
  <c r="L144" i="45"/>
  <c r="K157" i="45" s="1"/>
  <c r="L143" i="45"/>
  <c r="K156" i="45" s="1"/>
  <c r="L145" i="45"/>
  <c r="K158" i="45" s="1"/>
  <c r="L110" i="44"/>
  <c r="K108" i="44"/>
  <c r="L108" i="44" s="1"/>
  <c r="K207" i="41"/>
  <c r="L207" i="41" s="1"/>
  <c r="L280" i="41"/>
  <c r="K329" i="41" s="1"/>
  <c r="L282" i="42"/>
  <c r="K329" i="42" s="1"/>
  <c r="K206" i="42"/>
  <c r="L206" i="42" s="1"/>
  <c r="K199" i="42"/>
  <c r="K209" i="42"/>
  <c r="L209" i="42" s="1"/>
  <c r="K212" i="42"/>
  <c r="L212" i="42" s="1"/>
  <c r="K198" i="42"/>
  <c r="L198" i="42" s="1"/>
  <c r="K207" i="42"/>
  <c r="L276" i="42"/>
  <c r="K323" i="42" s="1"/>
  <c r="L264" i="42"/>
  <c r="K311" i="42" s="1"/>
  <c r="K204" i="42"/>
  <c r="L204" i="42" s="1"/>
  <c r="K213" i="42"/>
  <c r="K200" i="42"/>
  <c r="K201" i="42"/>
  <c r="L201" i="42" s="1"/>
  <c r="K203" i="42"/>
  <c r="K205" i="42"/>
  <c r="L205" i="42" s="1"/>
  <c r="K211" i="42"/>
  <c r="L211" i="42" s="1"/>
  <c r="K197" i="42"/>
  <c r="L197" i="42" s="1"/>
  <c r="K202" i="42"/>
  <c r="L202" i="42" s="1"/>
  <c r="K206" i="41"/>
  <c r="K204" i="41"/>
  <c r="L204" i="41" s="1"/>
  <c r="K214" i="41"/>
  <c r="L214" i="41" s="1"/>
  <c r="K213" i="41"/>
  <c r="L213" i="41" s="1"/>
  <c r="K217" i="41"/>
  <c r="K208" i="41"/>
  <c r="K220" i="41"/>
  <c r="L220" i="41" s="1"/>
  <c r="K212" i="41"/>
  <c r="L212" i="41" s="1"/>
  <c r="K216" i="41"/>
  <c r="K209" i="41"/>
  <c r="L209" i="41" s="1"/>
  <c r="K215" i="41"/>
  <c r="L215" i="41" s="1"/>
  <c r="K218" i="41"/>
  <c r="L218" i="41" s="1"/>
  <c r="K219" i="41"/>
  <c r="L219" i="41" s="1"/>
  <c r="L260" i="41"/>
  <c r="K309" i="41" s="1"/>
  <c r="K199" i="41"/>
  <c r="L199" i="41" s="1"/>
  <c r="K137" i="22"/>
  <c r="K190" i="42"/>
  <c r="K193" i="42"/>
  <c r="L193" i="42" s="1"/>
  <c r="K184" i="42"/>
  <c r="L184" i="42" s="1"/>
  <c r="K186" i="42"/>
  <c r="K181" i="42"/>
  <c r="K188" i="42"/>
  <c r="L188" i="42" s="1"/>
  <c r="K183" i="42"/>
  <c r="K191" i="42"/>
  <c r="K189" i="42"/>
  <c r="K182" i="42"/>
  <c r="K180" i="42"/>
  <c r="L180" i="42" s="1"/>
  <c r="K179" i="42"/>
  <c r="L179" i="42" s="1"/>
  <c r="K192" i="42"/>
  <c r="K178" i="42"/>
  <c r="K187" i="42"/>
  <c r="L187" i="42" s="1"/>
  <c r="K177" i="42"/>
  <c r="L177" i="42" s="1"/>
  <c r="K185" i="42"/>
  <c r="L185" i="42" s="1"/>
  <c r="K192" i="41"/>
  <c r="J308" i="41"/>
  <c r="G364" i="41"/>
  <c r="J310" i="41"/>
  <c r="G366" i="41"/>
  <c r="J313" i="41"/>
  <c r="G369" i="41"/>
  <c r="J315" i="41"/>
  <c r="G371" i="41"/>
  <c r="J320" i="41"/>
  <c r="G376" i="41"/>
  <c r="J303" i="41"/>
  <c r="G359" i="41"/>
  <c r="J319" i="41"/>
  <c r="G375" i="41"/>
  <c r="J306" i="41"/>
  <c r="G362" i="41"/>
  <c r="J307" i="41"/>
  <c r="G363" i="41"/>
  <c r="K198" i="41"/>
  <c r="L198" i="41" s="1"/>
  <c r="K197" i="41"/>
  <c r="L256" i="41"/>
  <c r="K305" i="41" s="1"/>
  <c r="L265" i="41"/>
  <c r="K314" i="41" s="1"/>
  <c r="K185" i="41"/>
  <c r="L185" i="41" s="1"/>
  <c r="K182" i="41"/>
  <c r="L182" i="41" s="1"/>
  <c r="L251" i="41"/>
  <c r="K300" i="41" s="1"/>
  <c r="I504" i="41" l="1"/>
  <c r="J504" i="41"/>
  <c r="K504" i="41" s="1"/>
  <c r="I499" i="41"/>
  <c r="J499" i="41"/>
  <c r="K499" i="41" s="1"/>
  <c r="I507" i="41"/>
  <c r="J507" i="41"/>
  <c r="K507" i="41" s="1"/>
  <c r="I506" i="41"/>
  <c r="J506" i="41"/>
  <c r="K483" i="42"/>
  <c r="K486" i="42"/>
  <c r="K488" i="42"/>
  <c r="I500" i="41"/>
  <c r="J500" i="41"/>
  <c r="K500" i="41" s="1"/>
  <c r="I363" i="41"/>
  <c r="J363" i="41" s="1"/>
  <c r="D480" i="41"/>
  <c r="I364" i="41"/>
  <c r="J364" i="41" s="1"/>
  <c r="D481" i="41"/>
  <c r="I362" i="41"/>
  <c r="J362" i="41" s="1"/>
  <c r="D479" i="41"/>
  <c r="I371" i="41"/>
  <c r="J371" i="41" s="1"/>
  <c r="D488" i="41"/>
  <c r="I505" i="41"/>
  <c r="J505" i="41"/>
  <c r="K505" i="41" s="1"/>
  <c r="I501" i="41"/>
  <c r="J501" i="41"/>
  <c r="K494" i="42"/>
  <c r="I508" i="41"/>
  <c r="J508" i="41"/>
  <c r="K508" i="41" s="1"/>
  <c r="I375" i="41"/>
  <c r="J375" i="41" s="1"/>
  <c r="D492" i="41"/>
  <c r="I376" i="41"/>
  <c r="J376" i="41" s="1"/>
  <c r="D493" i="41"/>
  <c r="K487" i="42"/>
  <c r="I509" i="41"/>
  <c r="J509" i="41"/>
  <c r="I485" i="41"/>
  <c r="J485" i="41"/>
  <c r="I484" i="41"/>
  <c r="J484" i="41"/>
  <c r="K484" i="41" s="1"/>
  <c r="I511" i="41"/>
  <c r="J511" i="41"/>
  <c r="I495" i="42"/>
  <c r="J495" i="42"/>
  <c r="K294" i="22"/>
  <c r="K485" i="42"/>
  <c r="I498" i="41"/>
  <c r="J498" i="41"/>
  <c r="K498" i="41" s="1"/>
  <c r="I369" i="41"/>
  <c r="J369" i="41" s="1"/>
  <c r="D486" i="41"/>
  <c r="I359" i="41"/>
  <c r="J359" i="41" s="1"/>
  <c r="D476" i="41"/>
  <c r="I366" i="41"/>
  <c r="J366" i="41" s="1"/>
  <c r="D483" i="41"/>
  <c r="I512" i="41"/>
  <c r="J512" i="41"/>
  <c r="K512" i="41" s="1"/>
  <c r="I510" i="41"/>
  <c r="J510" i="41"/>
  <c r="K479" i="42"/>
  <c r="I496" i="41"/>
  <c r="J496" i="41"/>
  <c r="K496" i="41" s="1"/>
  <c r="K480" i="42"/>
  <c r="L259" i="42"/>
  <c r="K306" i="42" s="1"/>
  <c r="L191" i="42"/>
  <c r="L258" i="42"/>
  <c r="K305" i="42" s="1"/>
  <c r="L190" i="42"/>
  <c r="L260" i="42"/>
  <c r="K307" i="42" s="1"/>
  <c r="L192" i="42"/>
  <c r="L257" i="42"/>
  <c r="K304" i="42" s="1"/>
  <c r="L189" i="42"/>
  <c r="L250" i="42"/>
  <c r="K297" i="42" s="1"/>
  <c r="L182" i="42"/>
  <c r="L249" i="42"/>
  <c r="K296" i="42" s="1"/>
  <c r="L181" i="42"/>
  <c r="L268" i="42"/>
  <c r="K315" i="42" s="1"/>
  <c r="L200" i="42"/>
  <c r="L281" i="42"/>
  <c r="K328" i="42" s="1"/>
  <c r="L213" i="42"/>
  <c r="L267" i="42"/>
  <c r="K314" i="42" s="1"/>
  <c r="L199" i="42"/>
  <c r="L271" i="42"/>
  <c r="K318" i="42" s="1"/>
  <c r="L203" i="42"/>
  <c r="L275" i="42"/>
  <c r="K322" i="42" s="1"/>
  <c r="L207" i="42"/>
  <c r="L251" i="42"/>
  <c r="K298" i="42" s="1"/>
  <c r="L183" i="42"/>
  <c r="L254" i="42"/>
  <c r="K301" i="42" s="1"/>
  <c r="L186" i="42"/>
  <c r="L246" i="42"/>
  <c r="K293" i="42" s="1"/>
  <c r="L178" i="42"/>
  <c r="L267" i="41"/>
  <c r="K316" i="41" s="1"/>
  <c r="L197" i="41"/>
  <c r="L287" i="41"/>
  <c r="K336" i="41" s="1"/>
  <c r="L217" i="41"/>
  <c r="L286" i="41"/>
  <c r="K335" i="41" s="1"/>
  <c r="L216" i="41"/>
  <c r="L276" i="41"/>
  <c r="K325" i="41" s="1"/>
  <c r="L206" i="41"/>
  <c r="L278" i="41"/>
  <c r="K327" i="41" s="1"/>
  <c r="L208" i="41"/>
  <c r="L262" i="41"/>
  <c r="K311" i="41" s="1"/>
  <c r="L192" i="41"/>
  <c r="L142" i="44"/>
  <c r="K155" i="44" s="1"/>
  <c r="L283" i="41"/>
  <c r="K332" i="41" s="1"/>
  <c r="L277" i="41"/>
  <c r="K326" i="41" s="1"/>
  <c r="L274" i="42"/>
  <c r="K321" i="42" s="1"/>
  <c r="L274" i="41"/>
  <c r="K323" i="41" s="1"/>
  <c r="L280" i="42"/>
  <c r="K327" i="42" s="1"/>
  <c r="L277" i="42"/>
  <c r="K324" i="42" s="1"/>
  <c r="L266" i="42"/>
  <c r="K313" i="42" s="1"/>
  <c r="L272" i="42"/>
  <c r="K319" i="42" s="1"/>
  <c r="L269" i="42"/>
  <c r="K316" i="42" s="1"/>
  <c r="L270" i="42"/>
  <c r="K317" i="42" s="1"/>
  <c r="L265" i="42"/>
  <c r="K312" i="42" s="1"/>
  <c r="L273" i="42"/>
  <c r="K320" i="42" s="1"/>
  <c r="L279" i="42"/>
  <c r="K326" i="42" s="1"/>
  <c r="L261" i="42"/>
  <c r="K308" i="42" s="1"/>
  <c r="L252" i="42"/>
  <c r="K299" i="42" s="1"/>
  <c r="L290" i="41"/>
  <c r="K339" i="41" s="1"/>
  <c r="L282" i="41"/>
  <c r="K331" i="41" s="1"/>
  <c r="L284" i="41"/>
  <c r="K333" i="41" s="1"/>
  <c r="L288" i="41"/>
  <c r="K337" i="41" s="1"/>
  <c r="L285" i="41"/>
  <c r="K334" i="41" s="1"/>
  <c r="L279" i="41"/>
  <c r="K328" i="41" s="1"/>
  <c r="L289" i="41"/>
  <c r="K338" i="41" s="1"/>
  <c r="L269" i="41"/>
  <c r="K318" i="41" s="1"/>
  <c r="L256" i="42"/>
  <c r="K303" i="42" s="1"/>
  <c r="L247" i="42"/>
  <c r="K294" i="42" s="1"/>
  <c r="L248" i="42"/>
  <c r="K295" i="42" s="1"/>
  <c r="L245" i="42"/>
  <c r="K292" i="42" s="1"/>
  <c r="L253" i="42"/>
  <c r="K300" i="42" s="1"/>
  <c r="L255" i="42"/>
  <c r="K302" i="42" s="1"/>
  <c r="L268" i="41"/>
  <c r="K317" i="41" s="1"/>
  <c r="K184" i="41"/>
  <c r="L184" i="41" s="1"/>
  <c r="K202" i="41"/>
  <c r="K188" i="41"/>
  <c r="L188" i="41" s="1"/>
  <c r="K189" i="41"/>
  <c r="L189" i="41" s="1"/>
  <c r="K194" i="41"/>
  <c r="L194" i="41" s="1"/>
  <c r="K187" i="41"/>
  <c r="K196" i="41"/>
  <c r="L196" i="41" s="1"/>
  <c r="K193" i="41"/>
  <c r="L193" i="41" s="1"/>
  <c r="L252" i="41"/>
  <c r="K301" i="41" s="1"/>
  <c r="K191" i="41"/>
  <c r="L191" i="41" s="1"/>
  <c r="L255" i="41"/>
  <c r="K304" i="41" s="1"/>
  <c r="K183" i="41"/>
  <c r="L183" i="41" s="1"/>
  <c r="K201" i="41"/>
  <c r="K200" i="41"/>
  <c r="L200" i="41" s="1"/>
  <c r="I493" i="41" l="1"/>
  <c r="J493" i="41"/>
  <c r="K493" i="41" s="1"/>
  <c r="K506" i="41"/>
  <c r="I480" i="41"/>
  <c r="J480" i="41"/>
  <c r="K480" i="41" s="1"/>
  <c r="I492" i="41"/>
  <c r="J492" i="41"/>
  <c r="K492" i="41" s="1"/>
  <c r="I483" i="41"/>
  <c r="J483" i="41"/>
  <c r="K485" i="41"/>
  <c r="I488" i="41"/>
  <c r="J488" i="41"/>
  <c r="I476" i="41"/>
  <c r="J476" i="41"/>
  <c r="K476" i="41" s="1"/>
  <c r="K495" i="42"/>
  <c r="K509" i="41"/>
  <c r="I479" i="41"/>
  <c r="J479" i="41"/>
  <c r="K479" i="41" s="1"/>
  <c r="K510" i="41"/>
  <c r="I486" i="41"/>
  <c r="J486" i="41"/>
  <c r="K486" i="41" s="1"/>
  <c r="K511" i="41"/>
  <c r="K501" i="41"/>
  <c r="I481" i="41"/>
  <c r="J481" i="41"/>
  <c r="L271" i="41"/>
  <c r="K320" i="41" s="1"/>
  <c r="L201" i="41"/>
  <c r="L272" i="41"/>
  <c r="K321" i="41" s="1"/>
  <c r="L202" i="41"/>
  <c r="L257" i="41"/>
  <c r="K306" i="41" s="1"/>
  <c r="L187" i="41"/>
  <c r="L258" i="41"/>
  <c r="K307" i="41" s="1"/>
  <c r="L254" i="41"/>
  <c r="K303" i="41" s="1"/>
  <c r="L264" i="41"/>
  <c r="K313" i="41" s="1"/>
  <c r="L266" i="41"/>
  <c r="K315" i="41" s="1"/>
  <c r="L270" i="41"/>
  <c r="K319" i="41" s="1"/>
  <c r="L259" i="41"/>
  <c r="K308" i="41" s="1"/>
  <c r="L261" i="41"/>
  <c r="K310" i="41" s="1"/>
  <c r="L253" i="41"/>
  <c r="K302" i="41" s="1"/>
  <c r="L263" i="41"/>
  <c r="K312" i="41" s="1"/>
  <c r="K488" i="41" l="1"/>
  <c r="K481" i="41"/>
  <c r="K483" i="41"/>
  <c r="F166" i="22"/>
  <c r="F165" i="22" l="1"/>
  <c r="L139" i="22"/>
  <c r="L136" i="22"/>
  <c r="L137" i="22"/>
  <c r="L140" i="22"/>
  <c r="L138" i="22"/>
  <c r="L182" i="22" l="1"/>
  <c r="K204" i="22" s="1"/>
  <c r="L183" i="22"/>
  <c r="K205" i="22" s="1"/>
  <c r="L181" i="22"/>
  <c r="K203" i="22" s="1"/>
  <c r="L179" i="22"/>
  <c r="K201" i="22" s="1"/>
  <c r="L180" i="22"/>
  <c r="K202" i="22" s="1"/>
  <c r="G37" i="22"/>
  <c r="F221" i="22"/>
  <c r="E221" i="22"/>
  <c r="D221" i="22"/>
  <c r="D192" i="22"/>
  <c r="C192" i="22"/>
  <c r="C169" i="22"/>
  <c r="B169" i="22"/>
  <c r="G165" i="22"/>
  <c r="F127" i="22"/>
  <c r="C127" i="22"/>
  <c r="B127" i="22"/>
  <c r="C77" i="22"/>
  <c r="B77" i="22"/>
  <c r="L78" i="22"/>
  <c r="H5" i="18"/>
  <c r="G5" i="18"/>
  <c r="H6" i="18"/>
  <c r="G6" i="18"/>
  <c r="H7" i="18"/>
  <c r="G7" i="18"/>
  <c r="H8" i="18"/>
  <c r="G8" i="18"/>
  <c r="G9" i="18"/>
  <c r="E37" i="18"/>
  <c r="I193" i="22" l="1"/>
  <c r="D39" i="22"/>
  <c r="D38" i="22"/>
  <c r="N84" i="22"/>
  <c r="L84" i="22" s="1"/>
  <c r="N82" i="22"/>
  <c r="L82" i="22" s="1"/>
  <c r="I199" i="22" l="1"/>
  <c r="I197" i="22"/>
  <c r="N132" i="22"/>
  <c r="N133" i="22"/>
  <c r="N134" i="22"/>
  <c r="N129" i="22"/>
  <c r="N131" i="22"/>
  <c r="N130" i="22"/>
  <c r="J45" i="22"/>
  <c r="K45" i="22" s="1"/>
  <c r="J43" i="22"/>
  <c r="K43" i="22" s="1"/>
  <c r="J48" i="22"/>
  <c r="K48" i="22" s="1"/>
  <c r="J44" i="22"/>
  <c r="K44" i="22" s="1"/>
  <c r="J47" i="22"/>
  <c r="K47" i="22" s="1"/>
  <c r="J46" i="22"/>
  <c r="K46" i="22" s="1"/>
  <c r="J42" i="22"/>
  <c r="K42" i="22" s="1"/>
  <c r="N80" i="22"/>
  <c r="L80" i="22" s="1"/>
  <c r="N79" i="22"/>
  <c r="L79" i="22" s="1"/>
  <c r="N81" i="22"/>
  <c r="L81" i="22" s="1"/>
  <c r="N83" i="22"/>
  <c r="L83" i="22" s="1"/>
  <c r="I198" i="22" l="1"/>
  <c r="I195" i="22"/>
  <c r="H195" i="22"/>
  <c r="H194" i="22"/>
  <c r="H198" i="22"/>
  <c r="H196" i="22"/>
  <c r="I196" i="22"/>
  <c r="I194" i="22"/>
  <c r="G128" i="22"/>
  <c r="H193" i="22"/>
  <c r="G132" i="22"/>
  <c r="H197" i="22"/>
  <c r="G134" i="22"/>
  <c r="H199" i="22"/>
  <c r="G130" i="22"/>
  <c r="G129" i="22"/>
  <c r="G133" i="22"/>
  <c r="G131" i="22"/>
  <c r="H175" i="22" l="1"/>
  <c r="H172" i="22"/>
  <c r="H173" i="22"/>
  <c r="H174" i="22"/>
  <c r="H176" i="22"/>
  <c r="H177" i="22"/>
  <c r="H171" i="22"/>
  <c r="J196" i="22"/>
  <c r="J198" i="22"/>
  <c r="H223" i="22"/>
  <c r="I223" i="22" s="1"/>
  <c r="J223" i="22" s="1"/>
  <c r="H224" i="22"/>
  <c r="I224" i="22" s="1"/>
  <c r="J224" i="22" s="1"/>
  <c r="H225" i="22"/>
  <c r="I225" i="22" s="1"/>
  <c r="J225" i="22" s="1"/>
  <c r="H227" i="22"/>
  <c r="I227" i="22" s="1"/>
  <c r="J227" i="22" s="1"/>
  <c r="J195" i="22"/>
  <c r="J194" i="22"/>
  <c r="J197" i="22"/>
  <c r="H226" i="22"/>
  <c r="I226" i="22" s="1"/>
  <c r="J226" i="22" s="1"/>
  <c r="J193" i="22"/>
  <c r="H222" i="22"/>
  <c r="I222" i="22" s="1"/>
  <c r="J199" i="22"/>
  <c r="H228" i="22"/>
  <c r="I228" i="22" s="1"/>
  <c r="J228" i="22" s="1"/>
  <c r="J222" i="22" l="1"/>
  <c r="K128" i="22" l="1"/>
  <c r="L128" i="22" s="1"/>
  <c r="K129" i="22"/>
  <c r="K133" i="22"/>
  <c r="K134" i="22"/>
  <c r="K130" i="22"/>
  <c r="L129" i="22" l="1"/>
  <c r="L171" i="22"/>
  <c r="K193" i="22" s="1"/>
  <c r="L133" i="22"/>
  <c r="L176" i="22"/>
  <c r="K198" i="22" s="1"/>
  <c r="L130" i="22"/>
  <c r="L173" i="22"/>
  <c r="L172" i="22"/>
  <c r="K194" i="22" s="1"/>
  <c r="L134" i="22"/>
  <c r="L177" i="22"/>
  <c r="K132" i="22"/>
  <c r="K131" i="22"/>
  <c r="L132" i="22" l="1"/>
  <c r="L175" i="22"/>
  <c r="K197" i="22" s="1"/>
  <c r="L131" i="22"/>
  <c r="L174" i="22"/>
  <c r="K196" i="22" s="1"/>
  <c r="K195" i="22"/>
  <c r="K199" i="22"/>
</calcChain>
</file>

<file path=xl/sharedStrings.xml><?xml version="1.0" encoding="utf-8"?>
<sst xmlns="http://schemas.openxmlformats.org/spreadsheetml/2006/main" count="3254" uniqueCount="400">
  <si>
    <t>1.1 Cargas muertas</t>
  </si>
  <si>
    <t>Tubería enterrada en zanja angosta Bd &lt; 2 Bc</t>
  </si>
  <si>
    <t>Donde:</t>
  </si>
  <si>
    <t>Tubería enterrada en zanja ancha Bd &gt; 2 Bc</t>
  </si>
  <si>
    <t>Con los siguientes valores se calcularon las cargas muertas sobre las tuberías:</t>
  </si>
  <si>
    <t>k =</t>
  </si>
  <si>
    <t>Pozo</t>
  </si>
  <si>
    <t>Longitud</t>
  </si>
  <si>
    <t>Diámetro Nominal</t>
  </si>
  <si>
    <t>Ancho zanja</t>
  </si>
  <si>
    <t>Cd ó Cc</t>
  </si>
  <si>
    <t>PROF MAX</t>
  </si>
  <si>
    <t>Prof exploración</t>
  </si>
  <si>
    <t>de</t>
  </si>
  <si>
    <t>a</t>
  </si>
  <si>
    <t>(m)</t>
  </si>
  <si>
    <t>Bd (m)</t>
  </si>
  <si>
    <t>ZANJA</t>
  </si>
  <si>
    <t>1.2 Cargas vivas en vías</t>
  </si>
  <si>
    <t>Con los siguientes valores se calcularon las cargas vivas sobre las tuberías:</t>
  </si>
  <si>
    <t>W (KN) =</t>
  </si>
  <si>
    <t>If =</t>
  </si>
  <si>
    <t>Para profundidades de instalación entre 0.60 y 0.90 m</t>
  </si>
  <si>
    <t>Condicional Tipo</t>
  </si>
  <si>
    <t>2. Condición Límite de Deflexión</t>
  </si>
  <si>
    <t>Porcentaje de deflexión de la tubería</t>
  </si>
  <si>
    <t>Bc =</t>
  </si>
  <si>
    <t>Deflexión (m)</t>
  </si>
  <si>
    <t>Factor de retardo de la deflexión (1.0 - 1.5)</t>
  </si>
  <si>
    <t>K =</t>
  </si>
  <si>
    <t>Factor de soporte</t>
  </si>
  <si>
    <t>W =</t>
  </si>
  <si>
    <t>Carga total por unidad de medida de la tubería (N/m)</t>
  </si>
  <si>
    <t>W = Wm + Wv (Carga muerta + Carga viva)</t>
  </si>
  <si>
    <t>EI =</t>
  </si>
  <si>
    <t>Rígidez de la pared de la tubería</t>
  </si>
  <si>
    <t>E =</t>
  </si>
  <si>
    <t>Módulo de elasticidad del material de la tubería (MPa)</t>
  </si>
  <si>
    <t>I =</t>
  </si>
  <si>
    <t>E´ =</t>
  </si>
  <si>
    <t>Módulo de reacción de la subrasante (MPa)</t>
  </si>
  <si>
    <t>Los valores para cada uno de estos factores son los siguientes:</t>
  </si>
  <si>
    <t>Para tuberías PVC Novafort (0.149*57 Psi)</t>
  </si>
  <si>
    <t>Para tuberías PVC Novafort</t>
  </si>
  <si>
    <t>Para tuberías PVC Novaloc</t>
  </si>
  <si>
    <t>Carga Total</t>
  </si>
  <si>
    <t>K</t>
  </si>
  <si>
    <t>Sc</t>
  </si>
  <si>
    <t>Bc (m)</t>
  </si>
  <si>
    <t>W (KN/m)</t>
  </si>
  <si>
    <t>En/Eb</t>
  </si>
  <si>
    <t>Bd/D</t>
  </si>
  <si>
    <t>A</t>
  </si>
  <si>
    <t>B</t>
  </si>
  <si>
    <t>X</t>
  </si>
  <si>
    <t>Y</t>
  </si>
  <si>
    <t>AX</t>
  </si>
  <si>
    <t>BX</t>
  </si>
  <si>
    <t>V1</t>
  </si>
  <si>
    <t>V2</t>
  </si>
  <si>
    <t>3. Condición Límite de Pandeo</t>
  </si>
  <si>
    <t>FS =</t>
  </si>
  <si>
    <t>Rw =</t>
  </si>
  <si>
    <t>Hw =</t>
  </si>
  <si>
    <t>B´ =</t>
  </si>
  <si>
    <t>Coeficiente empírico de soporte elástico</t>
  </si>
  <si>
    <t>Hc =</t>
  </si>
  <si>
    <t>Hw (m) =</t>
  </si>
  <si>
    <t xml:space="preserve">De acuerdo con las perforaciones realizadas </t>
  </si>
  <si>
    <t>FS</t>
  </si>
  <si>
    <t>Rw</t>
  </si>
  <si>
    <t>B'</t>
  </si>
  <si>
    <t>(KPa)</t>
  </si>
  <si>
    <t>Las presiones actuantes se determinaron mediante la siguiente ecuación:</t>
  </si>
  <si>
    <t>4. Condición Límite de Rotura de Pared (Wall Crushing)</t>
  </si>
  <si>
    <t>Carga total sobre la tubería (KN/m)</t>
  </si>
  <si>
    <t>Diámetro exterior de la tubería (m)</t>
  </si>
  <si>
    <t>A  =</t>
  </si>
  <si>
    <t>1. Determinación de las Condiciones de Carga</t>
  </si>
  <si>
    <t>1. CÁLCULO DE LA CAPACIDAD DE SOPORTE NETA</t>
  </si>
  <si>
    <t>Se obtiene un valor de:</t>
  </si>
  <si>
    <t>&gt; 1.5</t>
  </si>
  <si>
    <t>2* Cu</t>
  </si>
  <si>
    <t>=</t>
  </si>
  <si>
    <t>Por lo tanto, la primera línea de codales deberá estar colocada a una altura inferior a la crítica.</t>
  </si>
  <si>
    <t>H:</t>
  </si>
  <si>
    <t>Profundidad máxima de excavación =</t>
  </si>
  <si>
    <t>m</t>
  </si>
  <si>
    <t>Resistencia al corte no drenada =</t>
  </si>
  <si>
    <t xml:space="preserve">Bd: </t>
  </si>
  <si>
    <t>Ancho de excavación =</t>
  </si>
  <si>
    <r>
      <t>Ton/m</t>
    </r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</t>
    </r>
  </si>
  <si>
    <r>
      <t>q</t>
    </r>
    <r>
      <rPr>
        <vertAlign val="subscript"/>
        <sz val="9"/>
        <rFont val="Arial"/>
        <family val="2"/>
      </rPr>
      <t>adm</t>
    </r>
    <r>
      <rPr>
        <sz val="9"/>
        <rFont val="Arial"/>
        <family val="2"/>
      </rPr>
      <t xml:space="preserve"> = </t>
    </r>
  </si>
  <si>
    <r>
      <t>Ton/m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</t>
    </r>
  </si>
  <si>
    <r>
      <t xml:space="preserve">g </t>
    </r>
    <r>
      <rPr>
        <sz val="9"/>
        <rFont val="Arial"/>
        <family val="2"/>
      </rPr>
      <t xml:space="preserve">= </t>
    </r>
  </si>
  <si>
    <r>
      <t xml:space="preserve">FS * </t>
    </r>
    <r>
      <rPr>
        <sz val="9"/>
        <rFont val="Symbol"/>
        <family val="1"/>
        <charset val="2"/>
      </rPr>
      <t>g</t>
    </r>
  </si>
  <si>
    <r>
      <t>f</t>
    </r>
    <r>
      <rPr>
        <b/>
        <sz val="9"/>
        <rFont val="Arial"/>
        <family val="2"/>
      </rPr>
      <t xml:space="preserve"> (°)=</t>
    </r>
  </si>
  <si>
    <r>
      <t>f</t>
    </r>
    <r>
      <rPr>
        <b/>
        <sz val="9"/>
        <rFont val="Arial"/>
        <family val="2"/>
      </rPr>
      <t xml:space="preserve"> (rad)=</t>
    </r>
  </si>
  <si>
    <r>
      <t>g</t>
    </r>
    <r>
      <rPr>
        <b/>
        <sz val="9"/>
        <rFont val="Arial"/>
        <family val="2"/>
      </rPr>
      <t xml:space="preserve"> (KN/m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) =</t>
    </r>
  </si>
  <si>
    <r>
      <t>m</t>
    </r>
    <r>
      <rPr>
        <b/>
        <sz val="9"/>
        <rFont val="Arial"/>
        <family val="2"/>
      </rPr>
      <t xml:space="preserve"> =</t>
    </r>
  </si>
  <si>
    <r>
      <t>D</t>
    </r>
    <r>
      <rPr>
        <sz val="9"/>
        <rFont val="Arial"/>
        <family val="2"/>
      </rPr>
      <t>y / Bc =</t>
    </r>
  </si>
  <si>
    <r>
      <t>D</t>
    </r>
    <r>
      <rPr>
        <sz val="9"/>
        <rFont val="Arial"/>
        <family val="2"/>
      </rPr>
      <t>y =</t>
    </r>
  </si>
  <si>
    <r>
      <t>D</t>
    </r>
    <r>
      <rPr>
        <vertAlign val="subscript"/>
        <sz val="9"/>
        <rFont val="Arial"/>
        <family val="2"/>
      </rPr>
      <t>L</t>
    </r>
    <r>
      <rPr>
        <sz val="9"/>
        <rFont val="Arial"/>
        <family val="2"/>
      </rPr>
      <t xml:space="preserve"> =</t>
    </r>
  </si>
  <si>
    <r>
      <t>Momento de inercia polar de la sección transversal de la pared del tubo (mm</t>
    </r>
    <r>
      <rPr>
        <vertAlign val="superscript"/>
        <sz val="9"/>
        <rFont val="Arial"/>
        <family val="2"/>
      </rPr>
      <t>4</t>
    </r>
    <r>
      <rPr>
        <sz val="9"/>
        <rFont val="Arial"/>
        <family val="2"/>
      </rPr>
      <t>)</t>
    </r>
  </si>
  <si>
    <r>
      <t>8EI/Bc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(Psi) =</t>
    </r>
  </si>
  <si>
    <r>
      <t>8EI/Bc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(KN/m</t>
    </r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>) =</t>
    </r>
  </si>
  <si>
    <r>
      <t>1</t>
    </r>
    <r>
      <rPr>
        <sz val="9"/>
        <rFont val="Arial"/>
        <family val="2"/>
      </rPr>
      <t xml:space="preserve"> De acuerdo con la Norma NS-035 de la EAAB la Deflexión Máxima Admisible (</t>
    </r>
    <r>
      <rPr>
        <sz val="9"/>
        <rFont val="Symbol"/>
        <family val="1"/>
        <charset val="2"/>
      </rPr>
      <t>D</t>
    </r>
    <r>
      <rPr>
        <sz val="9"/>
        <rFont val="Arial"/>
        <family val="2"/>
      </rPr>
      <t>y/Bc) en Tuberías PVC no debe ser mayor a 7.5% (Norma ASTM D-3034). Por lo tanto se considera que con el tipo de cimentación adoptada, se cumple este con este criterio.</t>
    </r>
  </si>
  <si>
    <r>
      <t>B´ = (1 + 4e</t>
    </r>
    <r>
      <rPr>
        <vertAlign val="superscript"/>
        <sz val="9"/>
        <rFont val="Arial"/>
        <family val="2"/>
      </rPr>
      <t>(-0,213 Hc)</t>
    </r>
    <r>
      <rPr>
        <sz val="9"/>
        <rFont val="Arial"/>
        <family val="2"/>
      </rPr>
      <t xml:space="preserve"> )</t>
    </r>
    <r>
      <rPr>
        <vertAlign val="superscript"/>
        <sz val="9"/>
        <rFont val="Arial"/>
        <family val="2"/>
      </rPr>
      <t>-1</t>
    </r>
  </si>
  <si>
    <r>
      <t>EI/D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(KN/m</t>
    </r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>) =</t>
    </r>
  </si>
  <si>
    <r>
      <t xml:space="preserve">La compresión del anillo </t>
    </r>
    <r>
      <rPr>
        <sz val="9"/>
        <rFont val="Symbol"/>
        <family val="1"/>
        <charset val="2"/>
      </rPr>
      <t>s</t>
    </r>
    <r>
      <rPr>
        <sz val="9"/>
        <rFont val="Arial"/>
        <family val="2"/>
      </rPr>
      <t>c, se calcula como:</t>
    </r>
  </si>
  <si>
    <r>
      <t>W</t>
    </r>
    <r>
      <rPr>
        <vertAlign val="subscript"/>
        <sz val="9"/>
        <rFont val="Arial"/>
        <family val="2"/>
      </rPr>
      <t>t</t>
    </r>
    <r>
      <rPr>
        <sz val="9"/>
        <rFont val="Arial"/>
        <family val="2"/>
      </rPr>
      <t xml:space="preserve"> =</t>
    </r>
  </si>
  <si>
    <r>
      <t>Área de la sección transversal (m</t>
    </r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>)</t>
    </r>
  </si>
  <si>
    <r>
      <t xml:space="preserve">Este valor debe ser inferior al esfuerzo máximo de compresión del PVC </t>
    </r>
    <r>
      <rPr>
        <sz val="9"/>
        <rFont val="Symbol"/>
        <family val="1"/>
        <charset val="2"/>
      </rPr>
      <t>s</t>
    </r>
    <r>
      <rPr>
        <vertAlign val="subscript"/>
        <sz val="9"/>
        <rFont val="Arial"/>
        <family val="2"/>
      </rPr>
      <t>c</t>
    </r>
    <r>
      <rPr>
        <sz val="9"/>
        <rFont val="Arial"/>
        <family val="2"/>
      </rPr>
      <t xml:space="preserve"> </t>
    </r>
    <r>
      <rPr>
        <vertAlign val="subscript"/>
        <sz val="9"/>
        <rFont val="Arial"/>
        <family val="2"/>
      </rPr>
      <t>máx</t>
    </r>
    <r>
      <rPr>
        <sz val="9"/>
        <rFont val="Arial"/>
        <family val="2"/>
      </rPr>
      <t xml:space="preserve"> = 67500 KN/m</t>
    </r>
    <r>
      <rPr>
        <vertAlign val="superscript"/>
        <sz val="9"/>
        <rFont val="Arial"/>
        <family val="2"/>
      </rPr>
      <t>2</t>
    </r>
  </si>
  <si>
    <t>Diám Nominal</t>
  </si>
  <si>
    <t>Diám Bc</t>
  </si>
  <si>
    <t>La presión admisible de pandeo en una tubería enterrada en suelo natural como resultado de las cargas que actúan sobre ella y de las deformaciones que sufre, debe ser determinada por la siguiente ecuación:</t>
  </si>
  <si>
    <t>La deflexión horizontal que ocurre en una sección transversal de una tubería flexible al estar sometida a una carga vertical por unidad de longitud, puede estimarse por la siguiente ecuación:</t>
  </si>
  <si>
    <t>DIÁMETROS TUBERÍAS FLEXIBLES</t>
  </si>
  <si>
    <t>DIÁMETROS TUBERÍAS FLEXIBLES ACUEDUCTO</t>
  </si>
  <si>
    <t>Diámetro Exterior</t>
  </si>
  <si>
    <t>Peso</t>
  </si>
  <si>
    <t>in</t>
  </si>
  <si>
    <t>mm</t>
  </si>
  <si>
    <t>Kg/m</t>
  </si>
  <si>
    <t>(mm)</t>
  </si>
  <si>
    <t>Pozo De</t>
  </si>
  <si>
    <t>Pozo A</t>
  </si>
  <si>
    <t>Cu:</t>
  </si>
  <si>
    <t>Pozo de</t>
  </si>
  <si>
    <t>Pozo a</t>
  </si>
  <si>
    <t>Longitud (m)</t>
  </si>
  <si>
    <t>Entibado</t>
  </si>
  <si>
    <t>Para tuberías PVC Novaloc (0.149*28 Psi)</t>
  </si>
  <si>
    <t>Suelo de fundación:</t>
  </si>
  <si>
    <t>Hc (m)</t>
  </si>
  <si>
    <t>Cárcamo</t>
  </si>
  <si>
    <t>&lt;3</t>
  </si>
  <si>
    <t>Estación</t>
  </si>
  <si>
    <t>PZ6</t>
  </si>
  <si>
    <t>PZ4</t>
  </si>
  <si>
    <t>PZ11-6</t>
  </si>
  <si>
    <t>PZ7</t>
  </si>
  <si>
    <t>PZ8</t>
  </si>
  <si>
    <t>PZ9</t>
  </si>
  <si>
    <t>PZ10</t>
  </si>
  <si>
    <t>130317A</t>
  </si>
  <si>
    <t>VICS-141</t>
  </si>
  <si>
    <t>VICS-130A</t>
  </si>
  <si>
    <t>VICS-132</t>
  </si>
  <si>
    <t>PVA-01</t>
  </si>
  <si>
    <t>PVA-02</t>
  </si>
  <si>
    <t>PV-01</t>
  </si>
  <si>
    <t>PV-02</t>
  </si>
  <si>
    <t>VCP-163</t>
  </si>
  <si>
    <t>PV-03</t>
  </si>
  <si>
    <t>PV-05</t>
  </si>
  <si>
    <t>PV-06</t>
  </si>
  <si>
    <t>131946A</t>
  </si>
  <si>
    <t>78819A</t>
  </si>
  <si>
    <t>131750A</t>
  </si>
  <si>
    <t>131732A</t>
  </si>
  <si>
    <t>80265A</t>
  </si>
  <si>
    <t>131732B</t>
  </si>
  <si>
    <t>PZ-V1</t>
  </si>
  <si>
    <t>PZ-V2</t>
  </si>
  <si>
    <t>PA-01</t>
  </si>
  <si>
    <t>PA-02</t>
  </si>
  <si>
    <t>PA-03</t>
  </si>
  <si>
    <t>PA-04</t>
  </si>
  <si>
    <t>PA-05</t>
  </si>
  <si>
    <t>PA-06</t>
  </si>
  <si>
    <t>20 de julio</t>
  </si>
  <si>
    <t>La Victoria</t>
  </si>
  <si>
    <t>Altamira</t>
  </si>
  <si>
    <t>Para profundidades de instalación entre 0.31 y 0.60 m</t>
  </si>
  <si>
    <t>Para profundidades de instalación &gt;0.91 m</t>
  </si>
  <si>
    <t>&lt;225</t>
  </si>
  <si>
    <t>225-350</t>
  </si>
  <si>
    <t>350-700</t>
  </si>
  <si>
    <t>700-1200</t>
  </si>
  <si>
    <t>&gt;1200</t>
  </si>
  <si>
    <t>Bc + 0.4</t>
  </si>
  <si>
    <t>Bc + 0.5</t>
  </si>
  <si>
    <t>Bc + 0.7</t>
  </si>
  <si>
    <t>Bc + 0.85</t>
  </si>
  <si>
    <t>Bc + 1.00</t>
  </si>
  <si>
    <t>&lt;1.00</t>
  </si>
  <si>
    <t>1.00-1.75</t>
  </si>
  <si>
    <t>1.75-4.00</t>
  </si>
  <si>
    <t>&gt;4.00</t>
  </si>
  <si>
    <t>No hay</t>
  </si>
  <si>
    <t>Prof excavación (m)</t>
  </si>
  <si>
    <t>Bd función Prof (m)</t>
  </si>
  <si>
    <t>Ancho minimo IDU</t>
  </si>
  <si>
    <t>Vías vehiculares</t>
  </si>
  <si>
    <t>Ciclo rutas</t>
  </si>
  <si>
    <t>Andenes</t>
  </si>
  <si>
    <t>E' (KN/m2)</t>
  </si>
  <si>
    <t>Cimentacion</t>
  </si>
  <si>
    <t>E' = Sc . E'b</t>
  </si>
  <si>
    <t>Sc: Factor combinado de soporte del suelo, depende de los valores presentados en la Tabla 5 de NS-035.</t>
  </si>
  <si>
    <t>E'b: Módulo de elasticidad de los materiales de relleno compactados (Mpa)</t>
  </si>
  <si>
    <t>Condición de  Instalación</t>
  </si>
  <si>
    <t>Diám Nominal (mm)</t>
  </si>
  <si>
    <t>Diám Bc (m)</t>
  </si>
  <si>
    <t>Ancho zanja
Bd (m)</t>
  </si>
  <si>
    <t>Carga muerta
 Wd (KN/m)</t>
  </si>
  <si>
    <t>Hc 
(m)</t>
  </si>
  <si>
    <t>Diám Bc 
(m)</t>
  </si>
  <si>
    <t>Diám Nominal (in)</t>
  </si>
  <si>
    <t>Long. Efect. 
Le (m)</t>
  </si>
  <si>
    <t>Carga viva
Wv (KN/m)</t>
  </si>
  <si>
    <t>Carga Total
W (KN/m)</t>
  </si>
  <si>
    <r>
      <t>En (KN/m</t>
    </r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>) =</t>
    </r>
  </si>
  <si>
    <r>
      <t xml:space="preserve">FS = 2.5 para Hc/D </t>
    </r>
    <r>
      <rPr>
        <sz val="9"/>
        <rFont val="Calibri"/>
        <family val="2"/>
      </rPr>
      <t>≥</t>
    </r>
    <r>
      <rPr>
        <sz val="9"/>
        <rFont val="Arial"/>
        <family val="2"/>
      </rPr>
      <t xml:space="preserve"> 2</t>
    </r>
  </si>
  <si>
    <t>FS = 3.0 para Hc/D &lt; 2</t>
  </si>
  <si>
    <t>Factor de seguridad</t>
  </si>
  <si>
    <t>Factor de flotación del agua</t>
  </si>
  <si>
    <t>Rw = 1 para Hw &gt; H</t>
  </si>
  <si>
    <r>
      <t xml:space="preserve">Rw = 1 - 0.33(Hw/Hc) para 0 </t>
    </r>
    <r>
      <rPr>
        <sz val="9"/>
        <rFont val="Calibri"/>
        <family val="2"/>
      </rPr>
      <t>≤</t>
    </r>
    <r>
      <rPr>
        <sz val="9"/>
        <rFont val="Arial"/>
        <family val="2"/>
      </rPr>
      <t xml:space="preserve"> Hw </t>
    </r>
    <r>
      <rPr>
        <sz val="9"/>
        <rFont val="Calibri"/>
        <family val="2"/>
      </rPr>
      <t>≤</t>
    </r>
    <r>
      <rPr>
        <sz val="9"/>
        <rFont val="Arial"/>
        <family val="2"/>
      </rPr>
      <t xml:space="preserve"> H</t>
    </r>
  </si>
  <si>
    <t>Altura de agua sobre la cota clave (m)</t>
  </si>
  <si>
    <t>Altura de relleno sobre la tubería (m)</t>
  </si>
  <si>
    <t>Longitud 
(m)</t>
  </si>
  <si>
    <t>Cota Clave 
(m)</t>
  </si>
  <si>
    <r>
      <t>Long. de A</t>
    </r>
    <r>
      <rPr>
        <b/>
        <vertAlign val="subscript"/>
        <sz val="9"/>
        <rFont val="Arial"/>
        <family val="2"/>
      </rPr>
      <t>LL</t>
    </r>
    <r>
      <rPr>
        <b/>
        <sz val="9"/>
        <rFont val="Arial"/>
        <family val="2"/>
      </rPr>
      <t xml:space="preserve"> - L (m)</t>
    </r>
  </si>
  <si>
    <r>
      <t>Ancho de A</t>
    </r>
    <r>
      <rPr>
        <b/>
        <vertAlign val="subscript"/>
        <sz val="9"/>
        <rFont val="Arial"/>
        <family val="2"/>
      </rPr>
      <t>LL</t>
    </r>
    <r>
      <rPr>
        <b/>
        <sz val="9"/>
        <rFont val="Arial"/>
        <family val="2"/>
      </rPr>
      <t xml:space="preserve"> S</t>
    </r>
    <r>
      <rPr>
        <b/>
        <vertAlign val="subscript"/>
        <sz val="9"/>
        <rFont val="Arial"/>
        <family val="2"/>
      </rPr>
      <t>L</t>
    </r>
    <r>
      <rPr>
        <b/>
        <sz val="9"/>
        <rFont val="Arial"/>
        <family val="2"/>
      </rPr>
      <t xml:space="preserve"> (m)</t>
    </r>
  </si>
  <si>
    <r>
      <t>E´b
(KN/m</t>
    </r>
    <r>
      <rPr>
        <b/>
        <vertAlign val="superscript"/>
        <sz val="9"/>
        <rFont val="Arial"/>
        <family val="2"/>
      </rPr>
      <t>2</t>
    </r>
    <r>
      <rPr>
        <b/>
        <sz val="9"/>
        <rFont val="Arial"/>
        <family val="2"/>
      </rPr>
      <t>)</t>
    </r>
  </si>
  <si>
    <r>
      <t>E'
(KN/m</t>
    </r>
    <r>
      <rPr>
        <b/>
        <vertAlign val="superscript"/>
        <sz val="9"/>
        <rFont val="Arial"/>
        <family val="2"/>
      </rPr>
      <t>2</t>
    </r>
    <r>
      <rPr>
        <b/>
        <sz val="9"/>
        <rFont val="Arial"/>
        <family val="2"/>
      </rPr>
      <t>)</t>
    </r>
  </si>
  <si>
    <r>
      <t>D</t>
    </r>
    <r>
      <rPr>
        <b/>
        <sz val="9"/>
        <rFont val="Arial"/>
        <family val="2"/>
      </rPr>
      <t xml:space="preserve"> y / Bc</t>
    </r>
    <r>
      <rPr>
        <b/>
        <vertAlign val="superscript"/>
        <sz val="9"/>
        <rFont val="Arial"/>
        <family val="2"/>
      </rPr>
      <t xml:space="preserve">1
</t>
    </r>
    <r>
      <rPr>
        <b/>
        <sz val="9"/>
        <rFont val="Arial"/>
        <family val="2"/>
      </rPr>
      <t>(%)</t>
    </r>
  </si>
  <si>
    <r>
      <t>qa</t>
    </r>
    <r>
      <rPr>
        <vertAlign val="subscript"/>
        <sz val="9"/>
        <rFont val="Arial"/>
        <family val="2"/>
      </rPr>
      <t>adm</t>
    </r>
  </si>
  <si>
    <r>
      <t>qa</t>
    </r>
    <r>
      <rPr>
        <b/>
        <vertAlign val="subscript"/>
        <sz val="9"/>
        <rFont val="Arial"/>
        <family val="2"/>
      </rPr>
      <t xml:space="preserve">act
</t>
    </r>
    <r>
      <rPr>
        <b/>
        <sz val="9"/>
        <rFont val="Arial"/>
        <family val="2"/>
      </rPr>
      <t>(KPa)</t>
    </r>
  </si>
  <si>
    <r>
      <t>qa</t>
    </r>
    <r>
      <rPr>
        <vertAlign val="subscript"/>
        <sz val="9"/>
        <rFont val="Arial"/>
        <family val="2"/>
      </rPr>
      <t>act</t>
    </r>
    <r>
      <rPr>
        <sz val="9"/>
        <rFont val="Cambria"/>
        <family val="1"/>
      </rPr>
      <t xml:space="preserve"> ≤</t>
    </r>
    <r>
      <rPr>
        <b/>
        <sz val="9"/>
        <rFont val="Arial"/>
        <family val="2"/>
      </rPr>
      <t xml:space="preserve"> qa</t>
    </r>
    <r>
      <rPr>
        <b/>
        <vertAlign val="subscript"/>
        <sz val="9"/>
        <rFont val="Arial"/>
        <family val="2"/>
      </rPr>
      <t>adm</t>
    </r>
  </si>
  <si>
    <r>
      <t>s</t>
    </r>
    <r>
      <rPr>
        <b/>
        <vertAlign val="subscript"/>
        <sz val="9"/>
        <rFont val="Arial"/>
        <family val="2"/>
      </rPr>
      <t xml:space="preserve">c
</t>
    </r>
    <r>
      <rPr>
        <b/>
        <sz val="9"/>
        <rFont val="Arial"/>
        <family val="2"/>
      </rPr>
      <t>(KPa)</t>
    </r>
  </si>
  <si>
    <r>
      <t>s</t>
    </r>
    <r>
      <rPr>
        <b/>
        <vertAlign val="subscript"/>
        <sz val="9"/>
        <rFont val="Arial"/>
        <family val="2"/>
      </rPr>
      <t>c</t>
    </r>
    <r>
      <rPr>
        <b/>
        <sz val="9"/>
        <rFont val="Arial"/>
        <family val="2"/>
      </rPr>
      <t xml:space="preserve"> &lt; </t>
    </r>
    <r>
      <rPr>
        <b/>
        <sz val="9"/>
        <rFont val="Symbol"/>
        <family val="1"/>
        <charset val="2"/>
      </rPr>
      <t>s</t>
    </r>
    <r>
      <rPr>
        <b/>
        <vertAlign val="subscript"/>
        <sz val="9"/>
        <rFont val="Arial"/>
        <family val="2"/>
      </rPr>
      <t>cmáx</t>
    </r>
  </si>
  <si>
    <t>Según el perfil geotecnico de la Estación 20 de Julio</t>
  </si>
  <si>
    <t>ESTACIÓN 20 DE JULIO</t>
  </si>
  <si>
    <t>MEMORIA DE CÁLCULO</t>
  </si>
  <si>
    <t>ESTACIÓN LA VICTORIA</t>
  </si>
  <si>
    <t>Según el perfil geotecnico de la Estación La Victoria</t>
  </si>
  <si>
    <t>Según el perfil geotecnico de la Estación Altamira</t>
  </si>
  <si>
    <t>5. Entibados</t>
  </si>
  <si>
    <t>DN (mm)</t>
  </si>
  <si>
    <t>Prof zanja (m)</t>
  </si>
  <si>
    <t>Bd Recomendado (m)</t>
  </si>
  <si>
    <t>Bd función 
DN (m)</t>
  </si>
  <si>
    <t>SUMIDEROS</t>
  </si>
  <si>
    <t>S1</t>
  </si>
  <si>
    <t>S2</t>
  </si>
  <si>
    <t>S3</t>
  </si>
  <si>
    <t>S4</t>
  </si>
  <si>
    <t>S5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</si>
  <si>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</si>
  <si>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</si>
  <si>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</si>
  <si>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</si>
  <si>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</si>
  <si>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</si>
  <si>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</si>
  <si>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</si>
  <si>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</si>
  <si>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S46</t>
  </si>
  <si>
    <t>S47</t>
  </si>
  <si>
    <t>S48</t>
  </si>
  <si>
    <t>S49</t>
  </si>
  <si>
    <t>S50</t>
  </si>
  <si>
    <t>S51</t>
  </si>
  <si>
    <t>S52</t>
  </si>
  <si>
    <t>S53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</si>
  <si>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</si>
  <si>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</si>
  <si>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</si>
  <si>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</si>
  <si>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</si>
  <si>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</si>
  <si>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</si>
  <si>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</si>
  <si>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</si>
  <si>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</si>
  <si>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</si>
  <si>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</si>
  <si>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</si>
  <si>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</si>
  <si>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</si>
  <si>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20J</t>
  </si>
  <si>
    <t>LV</t>
  </si>
  <si>
    <t>ALT</t>
  </si>
  <si>
    <t>DRENAJES</t>
  </si>
  <si>
    <t>Pilona 15</t>
  </si>
  <si>
    <t>Pilona 20</t>
  </si>
  <si>
    <t>Pilona 3</t>
  </si>
  <si>
    <t>Pilona 4</t>
  </si>
  <si>
    <t>Pilona 5</t>
  </si>
  <si>
    <t>Pilona 6</t>
  </si>
  <si>
    <t>Pilona 8</t>
  </si>
  <si>
    <t>Pilona 14</t>
  </si>
  <si>
    <t>Pilona 19</t>
  </si>
  <si>
    <t>Pilona 21</t>
  </si>
  <si>
    <t xml:space="preserve">PV-06 </t>
  </si>
  <si>
    <t>CR-01</t>
  </si>
  <si>
    <t>CR-02</t>
  </si>
  <si>
    <t>CR-03</t>
  </si>
  <si>
    <t>131828A</t>
  </si>
  <si>
    <t>131828B</t>
  </si>
  <si>
    <t>CR-04</t>
  </si>
  <si>
    <t>156416B</t>
  </si>
  <si>
    <t>CR-05</t>
  </si>
  <si>
    <t>CR-07</t>
  </si>
  <si>
    <t>CR-08</t>
  </si>
  <si>
    <t>CR-06</t>
  </si>
  <si>
    <t>CR-09</t>
  </si>
  <si>
    <t>CR-12</t>
  </si>
  <si>
    <t>CS-01</t>
  </si>
  <si>
    <t>CR-13</t>
  </si>
  <si>
    <t>CS-04</t>
  </si>
  <si>
    <t>CR-15</t>
  </si>
  <si>
    <t>CS-06</t>
  </si>
  <si>
    <t>CR-16</t>
  </si>
  <si>
    <t>CS-07</t>
  </si>
  <si>
    <t>CR-17</t>
  </si>
  <si>
    <t>CS-08</t>
  </si>
  <si>
    <t>78561D</t>
  </si>
  <si>
    <t xml:space="preserve">2748.40 </t>
  </si>
  <si>
    <t>2746.97</t>
  </si>
  <si>
    <t xml:space="preserve">2847.20 </t>
  </si>
  <si>
    <t>Según el perfil geotecnico de la Pilona 15</t>
  </si>
  <si>
    <t>Según el perfil geotecnico de la Pilona 20</t>
  </si>
  <si>
    <t>Según el perfil geotecnico de la Pilona 3</t>
  </si>
  <si>
    <t>Para Bd/D = 3</t>
  </si>
  <si>
    <t>Para Bd/D = 4</t>
  </si>
  <si>
    <t>Según el perfil geotecnico de la Pilona 4</t>
  </si>
  <si>
    <t>Según el perfil geotecnico de la Pilona 5</t>
  </si>
  <si>
    <t>Según el perfil geotecnico de la Pilona 6</t>
  </si>
  <si>
    <t>Según el perfil geotecnico de la Pilona 8</t>
  </si>
  <si>
    <t>Según el perfil geotecnico de la Pilona 14</t>
  </si>
  <si>
    <t>Según el perfil geotecnico de la Pilona 19</t>
  </si>
  <si>
    <t>Bd/D 3.09</t>
  </si>
  <si>
    <t>Bd/D 3.66</t>
  </si>
  <si>
    <t xml:space="preserve"> CIMENTACIÓN TUBERÍAS FLEXIBLES - CONEXIONES DE SUMIDEROS PILONA 3</t>
  </si>
  <si>
    <t xml:space="preserve"> CIMENTACIÓN TUBERÍAS FLEXIBLES - CONEXIONES DE SUMIDEROS PILONA 15</t>
  </si>
  <si>
    <t xml:space="preserve"> CIMENTACIÓN TUBERÍAS FLEXIBLES - CONEXIONES DE SUMIDEROS PILONA 20</t>
  </si>
  <si>
    <t xml:space="preserve"> CIMENTACIÓN TUBERÍAS FLEXIBLES - CONEXIONES DE SUMIDEROS PILONA 4</t>
  </si>
  <si>
    <t xml:space="preserve"> CIMENTACIÓN TUBERÍAS FLEXIBLES - CONEXIONES DE SUMIDEROS PILONA 5</t>
  </si>
  <si>
    <t xml:space="preserve"> CIMENTACIÓN TUBERÍAS FLEXIBLES - CONEXIONES DE SUMIDEROS PILONA 6</t>
  </si>
  <si>
    <t xml:space="preserve"> CIMENTACIÓN TUBERÍAS FLEXIBLES - CONEXIONES DE SUMIDEROS PILONA 8</t>
  </si>
  <si>
    <t xml:space="preserve"> CIMENTACIÓN TUBERÍAS FLEXIBLES - CONEXIONES DE SUMIDEROS PILONA 14</t>
  </si>
  <si>
    <t xml:space="preserve"> CIMENTACIÓN TUBERÍAS FLEXIBLES - CONEXIONES DE SUMIDEROS PILONA 19</t>
  </si>
  <si>
    <t xml:space="preserve"> CIMENTACIÓN TUBERÍAS FLEXIBLES - CONEXIONES DE SUMIDEROS PILONA 21</t>
  </si>
  <si>
    <t>Bd/D = 1.82</t>
  </si>
  <si>
    <t>Para Bd/D = 1.75</t>
  </si>
  <si>
    <t>Para Bd/D = 2</t>
  </si>
  <si>
    <t>Bd/D = 3.70</t>
  </si>
  <si>
    <t>Bd/D = 3.66</t>
  </si>
  <si>
    <t>Bd/D = 1.69</t>
  </si>
  <si>
    <t>Bd/D = 3.09</t>
  </si>
  <si>
    <t>RED DE ALCANTARILLADO COMBINADO</t>
  </si>
  <si>
    <t>Min</t>
  </si>
  <si>
    <t>Max</t>
  </si>
  <si>
    <r>
      <t>Resistencia al corte no drenado, C (kN/m</t>
    </r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>):</t>
    </r>
  </si>
  <si>
    <t>Profundidad de apoyo mínima (m):</t>
  </si>
  <si>
    <t>Factor de capacidad de carga, Nc</t>
  </si>
  <si>
    <t>y</t>
  </si>
  <si>
    <t>kn/m2</t>
  </si>
  <si>
    <t>Nq</t>
  </si>
  <si>
    <t>Factor de seguridad, FS</t>
  </si>
  <si>
    <r>
      <t xml:space="preserve"> cuando </t>
    </r>
    <r>
      <rPr>
        <sz val="9"/>
        <rFont val="Symbol"/>
        <family val="1"/>
        <charset val="2"/>
      </rPr>
      <t>f</t>
    </r>
    <r>
      <rPr>
        <sz val="9"/>
        <rFont val="Arial"/>
        <family val="2"/>
      </rPr>
      <t xml:space="preserve"> = 0</t>
    </r>
  </si>
  <si>
    <r>
      <t>Esfuerzo efectivo, q (kN/m</t>
    </r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>)</t>
    </r>
  </si>
  <si>
    <r>
      <t>kN/m</t>
    </r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    =</t>
    </r>
  </si>
  <si>
    <t>El factor de seguridad por falla de fondo se obtiene mediante la siguiente expresión:</t>
  </si>
  <si>
    <r>
      <t>z</t>
    </r>
    <r>
      <rPr>
        <vertAlign val="subscript"/>
        <sz val="9"/>
        <rFont val="Arial"/>
        <family val="2"/>
      </rPr>
      <t>c</t>
    </r>
    <r>
      <rPr>
        <sz val="9"/>
        <rFont val="Arial"/>
        <family val="2"/>
      </rPr>
      <t xml:space="preserve"> =</t>
    </r>
  </si>
  <si>
    <t>MEMORIA DE CÁLCULO CAPACIDAD PORTANTE</t>
  </si>
  <si>
    <t>Arcilla de consistencia firme</t>
  </si>
  <si>
    <r>
      <t>2.</t>
    </r>
    <r>
      <rPr>
        <b/>
        <sz val="9"/>
        <rFont val="Times New Roman"/>
        <family val="1"/>
      </rPr>
      <t> </t>
    </r>
    <r>
      <rPr>
        <b/>
        <sz val="9"/>
        <rFont val="Arial"/>
        <family val="2"/>
      </rPr>
      <t>CÁLCULO DEL FACTOR DE SEGURIDAD POR FALLA DE FONDO</t>
    </r>
  </si>
  <si>
    <r>
      <t>3.</t>
    </r>
    <r>
      <rPr>
        <b/>
        <sz val="9"/>
        <rFont val="Times New Roman"/>
        <family val="1"/>
      </rPr>
      <t> </t>
    </r>
    <r>
      <rPr>
        <b/>
        <sz val="9"/>
        <rFont val="Arial"/>
        <family val="2"/>
      </rPr>
      <t>CÁLCULO DE LA ALTURA CRÍTICA DE EXCAVACIONES PARA TUBERÍAS</t>
    </r>
  </si>
  <si>
    <t>ESTACIÓN ALTAMIRA</t>
  </si>
  <si>
    <t>Ny</t>
  </si>
  <si>
    <t>kn/m3</t>
  </si>
  <si>
    <r>
      <t xml:space="preserve">Para </t>
    </r>
    <r>
      <rPr>
        <sz val="9"/>
        <rFont val="Symbol"/>
        <family val="1"/>
        <charset val="2"/>
      </rPr>
      <t>f</t>
    </r>
    <r>
      <rPr>
        <sz val="9"/>
        <rFont val="Arial"/>
        <family val="2"/>
      </rPr>
      <t xml:space="preserve"> = 30.4</t>
    </r>
  </si>
  <si>
    <r>
      <t xml:space="preserve">g </t>
    </r>
    <r>
      <rPr>
        <sz val="9"/>
        <rFont val="Arial"/>
        <family val="2"/>
      </rPr>
      <t>(kN/m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)</t>
    </r>
  </si>
  <si>
    <r>
      <t>q (kN/m</t>
    </r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>)</t>
    </r>
  </si>
  <si>
    <t>Las excavaciones para las zanjas con alturas superiores a 1.00 m se realizarán en forma vertical empleando entibados dependiendo de la altura de la misma. Para las excavaciones con alturas inferiores e iguales a 3.00 m, se utilizará un entibado tipo E1. Para excavaciones con alturas superiores a 3.00 m, se empleará un entibado tipo E2.</t>
  </si>
  <si>
    <t>E1</t>
  </si>
  <si>
    <t xml:space="preserve"> CIMENTACIÓN TUBERÍAS FLEXIBLES - RED DE ALCANTARILLADO COMBINADO</t>
  </si>
  <si>
    <t>RED DE ALCANTARILLADO PLUVIAL Y SANITARIO</t>
  </si>
  <si>
    <t xml:space="preserve"> CIMENTACIÓN TUBERÍAS FLEXIBLES - RED DE ALCANTARILLADO PLUVIAL Y SANITARIO</t>
  </si>
  <si>
    <t>Entiabdo</t>
  </si>
  <si>
    <r>
      <t>kN/m</t>
    </r>
    <r>
      <rPr>
        <vertAlign val="superscript"/>
        <sz val="9"/>
        <rFont val="Arial"/>
        <family val="2"/>
      </rPr>
      <t>2</t>
    </r>
  </si>
  <si>
    <r>
      <t>kN/m</t>
    </r>
    <r>
      <rPr>
        <vertAlign val="superscript"/>
        <sz val="9"/>
        <rFont val="Arial"/>
        <family val="2"/>
      </rPr>
      <t>3</t>
    </r>
  </si>
  <si>
    <r>
      <t xml:space="preserve">La altura crítica se calcula en la condición más crítica: </t>
    </r>
    <r>
      <rPr>
        <sz val="9"/>
        <rFont val="Symbol"/>
        <family val="1"/>
        <charset val="2"/>
      </rPr>
      <t>f</t>
    </r>
    <r>
      <rPr>
        <sz val="9"/>
        <rFont val="Arial"/>
        <family val="2"/>
      </rPr>
      <t xml:space="preserve"> = 0° y Ka = 1, teniendo en cuenta un FS = 1.5 :</t>
    </r>
  </si>
  <si>
    <r>
      <t>Excavacion (m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)</t>
    </r>
  </si>
  <si>
    <t>Profundidad excavacion (m)</t>
  </si>
  <si>
    <t>Bd*Prof*L</t>
  </si>
  <si>
    <t>Prof. Excavación (m)</t>
  </si>
  <si>
    <t>Teniendo en cuenta el diseño y materiales de cimentación para tuberías recomendados en la norma NS-035, se presenta el diseño tipico y los espesores para cada tramo de la red.</t>
  </si>
  <si>
    <t>Espesor cama (m)</t>
  </si>
  <si>
    <t>Espesor atraque (m)</t>
  </si>
  <si>
    <t>Espesor R. inicial (m)</t>
  </si>
  <si>
    <t>Espesor R. final (m)</t>
  </si>
  <si>
    <t>Espesor acabado (m)</t>
  </si>
  <si>
    <t>6. Cimentación</t>
  </si>
  <si>
    <t>Prof Excavación (m)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</si>
</sst>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_(* #,##0.00_);_(* \(#,##0.00\);_(* &quot;-&quot;??_);_(@_)"/>
    <numFmt numFmtId="165" formatCode="0.000"/>
    <numFmt numFmtId="166" formatCode="0.0"/>
    <numFmt numFmtId="167" formatCode="_ [$€-2]\ * #,##0.00_ ;_ [$€-2]\ * \-#,##0.00_ ;_ [$€-2]\ * &quot;-&quot;??_ "/>
    <numFmt numFmtId="168" formatCode="0.00\ &quot;m&quot;"/>
    <numFmt numFmtId="169" formatCode="0.00_)"/>
  </numFmts>
  <fonts count="3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vertAlign val="superscript"/>
      <sz val="9"/>
      <name val="Arial"/>
      <family val="2"/>
    </font>
    <font>
      <sz val="9"/>
      <name val="Symbol"/>
      <family val="1"/>
      <charset val="2"/>
    </font>
    <font>
      <b/>
      <vertAlign val="superscript"/>
      <sz val="9"/>
      <name val="Arial"/>
      <family val="2"/>
    </font>
    <font>
      <b/>
      <sz val="9"/>
      <name val="Symbol"/>
      <family val="1"/>
      <charset val="2"/>
    </font>
    <font>
      <vertAlign val="subscript"/>
      <sz val="9"/>
      <name val="Arial"/>
      <family val="2"/>
    </font>
    <font>
      <b/>
      <sz val="9"/>
      <name val="Times New Roman"/>
      <family val="1"/>
    </font>
    <font>
      <b/>
      <i/>
      <sz val="9"/>
      <name val="Arial"/>
      <family val="2"/>
    </font>
    <font>
      <b/>
      <i/>
      <sz val="9"/>
      <name val="Symbol"/>
      <family val="1"/>
      <charset val="2"/>
    </font>
    <font>
      <sz val="9"/>
      <name val="Symbol (AS)"/>
      <family val="1"/>
      <charset val="2"/>
    </font>
    <font>
      <b/>
      <vertAlign val="subscript"/>
      <sz val="9"/>
      <name val="Arial"/>
      <family val="2"/>
    </font>
    <font>
      <b/>
      <sz val="10"/>
      <name val="Arial"/>
      <family val="2"/>
    </font>
    <font>
      <sz val="10"/>
      <name val="Courier"/>
      <family val="3"/>
    </font>
    <font>
      <sz val="9"/>
      <color theme="1"/>
      <name val="Arial"/>
      <family val="2"/>
    </font>
    <font>
      <sz val="9"/>
      <name val="Cambria"/>
      <family val="1"/>
    </font>
    <font>
      <sz val="10"/>
      <name val="Arial"/>
      <family val="2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sz val="9"/>
      <name val="Calibri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sz val="9"/>
      <color rgb="FFFFFF00"/>
      <name val="Arial"/>
      <family val="2"/>
    </font>
    <font>
      <b/>
      <sz val="9"/>
      <color rgb="FFFFFF00"/>
      <name val="Arial"/>
      <family val="2"/>
    </font>
    <font>
      <sz val="9"/>
      <color theme="8" tint="0.59999389629810485"/>
      <name val="Arial"/>
      <family val="2"/>
    </font>
    <font>
      <sz val="8"/>
      <color theme="8" tint="0.59999389629810485"/>
      <name val="Arial"/>
      <family val="2"/>
    </font>
    <font>
      <sz val="8"/>
      <color rgb="FFFFFF00"/>
      <name val="Arial"/>
      <family val="2"/>
    </font>
    <font>
      <b/>
      <sz val="9"/>
      <color theme="8" tint="0.59999389629810485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>
      <alignment vertical="center"/>
    </xf>
    <xf numFmtId="169" fontId="18" fillId="0" borderId="0"/>
    <xf numFmtId="0" fontId="2" fillId="0" borderId="0"/>
    <xf numFmtId="164" fontId="2" fillId="0" borderId="0" applyFont="0" applyFill="0" applyBorder="0" applyAlignment="0" applyProtection="0"/>
    <xf numFmtId="0" fontId="3" fillId="0" borderId="0"/>
    <xf numFmtId="0" fontId="1" fillId="0" borderId="0"/>
    <xf numFmtId="41" fontId="21" fillId="0" borderId="0" applyFont="0" applyFill="0" applyBorder="0" applyAlignment="0" applyProtection="0"/>
  </cellStyleXfs>
  <cellXfs count="358">
    <xf numFmtId="0" fontId="0" fillId="0" borderId="0" xfId="0"/>
    <xf numFmtId="0" fontId="5" fillId="0" borderId="0" xfId="0" applyFont="1"/>
    <xf numFmtId="0" fontId="5" fillId="0" borderId="0" xfId="0" applyFont="1" applyAlignment="1"/>
    <xf numFmtId="0" fontId="5" fillId="0" borderId="0" xfId="0" applyFont="1" applyFill="1"/>
    <xf numFmtId="0" fontId="5" fillId="0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5" fillId="0" borderId="7" xfId="0" applyFont="1" applyBorder="1"/>
    <xf numFmtId="0" fontId="5" fillId="0" borderId="9" xfId="0" applyFont="1" applyBorder="1"/>
    <xf numFmtId="0" fontId="5" fillId="0" borderId="10" xfId="0" applyFont="1" applyBorder="1"/>
    <xf numFmtId="0" fontId="5" fillId="0" borderId="9" xfId="0" applyFont="1" applyBorder="1" applyAlignment="1">
      <alignment horizontal="center"/>
    </xf>
    <xf numFmtId="0" fontId="5" fillId="0" borderId="5" xfId="0" applyFont="1" applyBorder="1"/>
    <xf numFmtId="0" fontId="5" fillId="0" borderId="0" xfId="0" applyFont="1" applyFill="1" applyBorder="1"/>
    <xf numFmtId="2" fontId="5" fillId="0" borderId="0" xfId="0" applyNumberFormat="1" applyFont="1"/>
    <xf numFmtId="0" fontId="5" fillId="0" borderId="0" xfId="0" applyNumberFormat="1" applyFont="1"/>
    <xf numFmtId="2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3" applyFont="1">
      <alignment vertical="center"/>
    </xf>
    <xf numFmtId="0" fontId="5" fillId="0" borderId="0" xfId="3" applyFont="1" applyAlignment="1">
      <alignment horizontal="centerContinuous"/>
    </xf>
    <xf numFmtId="0" fontId="6" fillId="0" borderId="0" xfId="3" applyFont="1">
      <alignment vertical="center"/>
    </xf>
    <xf numFmtId="0" fontId="13" fillId="0" borderId="0" xfId="3" applyFont="1" applyAlignment="1">
      <alignment horizontal="centerContinuous"/>
    </xf>
    <xf numFmtId="2" fontId="5" fillId="0" borderId="1" xfId="3" applyNumberFormat="1" applyFont="1" applyBorder="1" applyAlignment="1">
      <alignment horizontal="center" vertical="center"/>
    </xf>
    <xf numFmtId="0" fontId="14" fillId="0" borderId="0" xfId="3" applyFont="1" applyAlignment="1">
      <alignment horizontal="centerContinuous"/>
    </xf>
    <xf numFmtId="0" fontId="10" fillId="0" borderId="1" xfId="3" applyFont="1" applyBorder="1" applyAlignment="1">
      <alignment horizontal="center"/>
    </xf>
    <xf numFmtId="166" fontId="5" fillId="0" borderId="0" xfId="3" applyNumberFormat="1" applyFont="1" applyAlignment="1">
      <alignment horizontal="center"/>
    </xf>
    <xf numFmtId="165" fontId="5" fillId="0" borderId="1" xfId="3" applyNumberFormat="1" applyFont="1" applyBorder="1" applyAlignment="1">
      <alignment horizontal="center"/>
    </xf>
    <xf numFmtId="0" fontId="5" fillId="0" borderId="0" xfId="3" applyNumberFormat="1" applyFont="1">
      <alignment vertical="center"/>
    </xf>
    <xf numFmtId="0" fontId="6" fillId="0" borderId="1" xfId="3" applyFont="1" applyBorder="1" applyAlignment="1">
      <alignment horizontal="center"/>
    </xf>
    <xf numFmtId="166" fontId="5" fillId="0" borderId="1" xfId="3" applyNumberFormat="1" applyFont="1" applyBorder="1" applyAlignment="1">
      <alignment horizontal="center"/>
    </xf>
    <xf numFmtId="2" fontId="5" fillId="0" borderId="0" xfId="3" applyNumberFormat="1" applyFont="1">
      <alignment vertical="center"/>
    </xf>
    <xf numFmtId="165" fontId="5" fillId="0" borderId="0" xfId="3" applyNumberFormat="1" applyFont="1" applyBorder="1" applyAlignment="1">
      <alignment horizontal="center"/>
    </xf>
    <xf numFmtId="0" fontId="5" fillId="0" borderId="0" xfId="3" applyFont="1" applyAlignment="1">
      <alignment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0" xfId="0" applyNumberFormat="1" applyFont="1" applyBorder="1" applyAlignment="1">
      <alignment horizontal="center" vertical="center"/>
    </xf>
    <xf numFmtId="2" fontId="5" fillId="0" borderId="0" xfId="0" applyNumberFormat="1" applyFont="1" applyFill="1" applyBorder="1" applyAlignment="1">
      <alignment horizontal="center" vertical="center"/>
    </xf>
    <xf numFmtId="2" fontId="5" fillId="0" borderId="0" xfId="3" applyNumberFormat="1" applyFont="1" applyBorder="1" applyAlignment="1">
      <alignment horizontal="center" vertical="center"/>
    </xf>
    <xf numFmtId="2" fontId="5" fillId="0" borderId="0" xfId="3" applyNumberFormat="1" applyFont="1" applyBorder="1" applyAlignment="1">
      <alignment horizontal="center"/>
    </xf>
    <xf numFmtId="0" fontId="5" fillId="0" borderId="0" xfId="3" applyFont="1" applyBorder="1" applyAlignment="1">
      <alignment horizontal="center"/>
    </xf>
    <xf numFmtId="165" fontId="5" fillId="0" borderId="0" xfId="3" applyNumberFormat="1" applyFont="1">
      <alignment vertical="center"/>
    </xf>
    <xf numFmtId="0" fontId="5" fillId="0" borderId="0" xfId="3" applyFont="1" applyBorder="1" applyAlignment="1">
      <alignment horizontal="center" vertical="top" wrapText="1"/>
    </xf>
    <xf numFmtId="0" fontId="6" fillId="0" borderId="0" xfId="3" applyFont="1" applyAlignment="1">
      <alignment horizontal="centerContinuous"/>
    </xf>
    <xf numFmtId="0" fontId="5" fillId="0" borderId="1" xfId="3" applyFont="1" applyFill="1" applyBorder="1" applyAlignment="1">
      <alignment horizontal="center"/>
    </xf>
    <xf numFmtId="166" fontId="5" fillId="0" borderId="1" xfId="0" applyNumberFormat="1" applyFont="1" applyFill="1" applyBorder="1" applyAlignment="1">
      <alignment horizontal="center"/>
    </xf>
    <xf numFmtId="166" fontId="5" fillId="0" borderId="0" xfId="3" applyNumberFormat="1" applyFont="1" applyBorder="1" applyAlignment="1">
      <alignment horizontal="center"/>
    </xf>
    <xf numFmtId="0" fontId="8" fillId="0" borderId="0" xfId="3" applyFont="1">
      <alignment vertical="center"/>
    </xf>
    <xf numFmtId="0" fontId="5" fillId="0" borderId="0" xfId="3" applyFont="1" applyBorder="1" applyAlignment="1"/>
    <xf numFmtId="0" fontId="5" fillId="0" borderId="0" xfId="3" applyFont="1" applyAlignment="1"/>
    <xf numFmtId="0" fontId="15" fillId="0" borderId="0" xfId="3" applyFont="1" applyAlignment="1">
      <alignment horizontal="center"/>
    </xf>
    <xf numFmtId="0" fontId="5" fillId="0" borderId="11" xfId="3" applyFont="1" applyBorder="1" applyAlignment="1">
      <alignment horizontal="centerContinuous"/>
    </xf>
    <xf numFmtId="0" fontId="5" fillId="0" borderId="12" xfId="3" applyFont="1" applyBorder="1" applyAlignment="1">
      <alignment horizontal="centerContinuous"/>
    </xf>
    <xf numFmtId="0" fontId="5" fillId="0" borderId="11" xfId="3" applyFont="1" applyFill="1" applyBorder="1" applyAlignment="1">
      <alignment horizontal="centerContinuous"/>
    </xf>
    <xf numFmtId="0" fontId="5" fillId="0" borderId="12" xfId="3" applyFont="1" applyFill="1" applyBorder="1" applyAlignment="1">
      <alignment horizontal="centerContinuous"/>
    </xf>
    <xf numFmtId="2" fontId="5" fillId="0" borderId="1" xfId="2" applyNumberFormat="1" applyFont="1" applyFill="1" applyBorder="1" applyAlignment="1">
      <alignment horizontal="center"/>
    </xf>
    <xf numFmtId="2" fontId="5" fillId="0" borderId="1" xfId="3" applyNumberFormat="1" applyFont="1" applyFill="1" applyBorder="1" applyAlignment="1">
      <alignment horizontal="center"/>
    </xf>
    <xf numFmtId="166" fontId="5" fillId="0" borderId="1" xfId="3" applyNumberFormat="1" applyFont="1" applyFill="1" applyBorder="1" applyAlignment="1">
      <alignment horizontal="center"/>
    </xf>
    <xf numFmtId="1" fontId="5" fillId="0" borderId="1" xfId="3" applyNumberFormat="1" applyFont="1" applyFill="1" applyBorder="1" applyAlignment="1">
      <alignment horizontal="center"/>
    </xf>
    <xf numFmtId="0" fontId="5" fillId="0" borderId="0" xfId="3" applyFont="1" applyFill="1">
      <alignment vertical="center"/>
    </xf>
    <xf numFmtId="0" fontId="5" fillId="0" borderId="0" xfId="3" applyFont="1" applyFill="1" applyBorder="1" applyAlignment="1">
      <alignment horizontal="center"/>
    </xf>
    <xf numFmtId="165" fontId="5" fillId="0" borderId="0" xfId="3" applyNumberFormat="1" applyFont="1" applyFill="1" applyBorder="1" applyAlignment="1">
      <alignment horizontal="center"/>
    </xf>
    <xf numFmtId="166" fontId="5" fillId="0" borderId="0" xfId="3" applyNumberFormat="1" applyFont="1" applyFill="1" applyBorder="1" applyAlignment="1">
      <alignment horizontal="center"/>
    </xf>
    <xf numFmtId="2" fontId="5" fillId="0" borderId="0" xfId="3" applyNumberFormat="1" applyFont="1" applyFill="1" applyBorder="1" applyAlignment="1">
      <alignment horizontal="center"/>
    </xf>
    <xf numFmtId="2" fontId="5" fillId="0" borderId="0" xfId="2" applyNumberFormat="1" applyFont="1" applyAlignment="1">
      <alignment horizontal="center"/>
    </xf>
    <xf numFmtId="0" fontId="5" fillId="0" borderId="0" xfId="3" applyFont="1" applyAlignment="1">
      <alignment horizontal="center"/>
    </xf>
    <xf numFmtId="0" fontId="14" fillId="0" borderId="0" xfId="3" applyFont="1" applyAlignment="1"/>
    <xf numFmtId="0" fontId="6" fillId="0" borderId="0" xfId="2" applyFont="1"/>
    <xf numFmtId="0" fontId="5" fillId="0" borderId="0" xfId="2" applyFont="1"/>
    <xf numFmtId="0" fontId="5" fillId="0" borderId="0" xfId="2" applyFont="1" applyAlignment="1">
      <alignment horizontal="right"/>
    </xf>
    <xf numFmtId="0" fontId="5" fillId="0" borderId="0" xfId="2" applyFont="1" applyBorder="1" applyAlignment="1"/>
    <xf numFmtId="0" fontId="5" fillId="0" borderId="0" xfId="0" applyFont="1" applyFill="1" applyBorder="1" applyAlignment="1">
      <alignment horizontal="center" vertical="center"/>
    </xf>
    <xf numFmtId="166" fontId="5" fillId="0" borderId="0" xfId="0" applyNumberFormat="1" applyFont="1" applyFill="1" applyBorder="1" applyAlignment="1">
      <alignment horizontal="center"/>
    </xf>
    <xf numFmtId="2" fontId="5" fillId="0" borderId="0" xfId="0" applyNumberFormat="1" applyFont="1" applyFill="1" applyAlignment="1">
      <alignment horizontal="center" vertical="center"/>
    </xf>
    <xf numFmtId="1" fontId="5" fillId="0" borderId="0" xfId="3" applyNumberFormat="1" applyFont="1" applyBorder="1" applyAlignment="1">
      <alignment horizontal="center" vertical="center" wrapText="1"/>
    </xf>
    <xf numFmtId="0" fontId="5" fillId="0" borderId="0" xfId="3" applyFont="1" applyBorder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3" applyFont="1">
      <alignment vertical="center"/>
    </xf>
    <xf numFmtId="0" fontId="4" fillId="0" borderId="0" xfId="0" applyFont="1"/>
    <xf numFmtId="0" fontId="4" fillId="0" borderId="0" xfId="3" applyFont="1" applyAlignment="1">
      <alignment vertical="center"/>
    </xf>
    <xf numFmtId="0" fontId="4" fillId="0" borderId="0" xfId="3" applyFont="1" applyBorder="1" applyAlignment="1">
      <alignment horizontal="center"/>
    </xf>
    <xf numFmtId="165" fontId="4" fillId="0" borderId="0" xfId="3" applyNumberFormat="1" applyFont="1" applyBorder="1" applyAlignment="1">
      <alignment horizontal="center"/>
    </xf>
    <xf numFmtId="166" fontId="4" fillId="0" borderId="0" xfId="3" applyNumberFormat="1" applyFont="1" applyBorder="1" applyAlignment="1">
      <alignment horizontal="center"/>
    </xf>
    <xf numFmtId="2" fontId="4" fillId="0" borderId="0" xfId="3" applyNumberFormat="1" applyFont="1" applyBorder="1" applyAlignment="1">
      <alignment horizontal="center"/>
    </xf>
    <xf numFmtId="2" fontId="4" fillId="0" borderId="0" xfId="3" applyNumberFormat="1" applyFont="1">
      <alignment vertical="center"/>
    </xf>
    <xf numFmtId="2" fontId="4" fillId="0" borderId="0" xfId="3" applyNumberFormat="1" applyFont="1" applyAlignment="1">
      <alignment horizontal="center"/>
    </xf>
    <xf numFmtId="2" fontId="4" fillId="0" borderId="0" xfId="3" applyNumberFormat="1" applyFont="1" applyAlignment="1">
      <alignment horizontal="center" vertical="center"/>
    </xf>
    <xf numFmtId="2" fontId="4" fillId="0" borderId="0" xfId="2" applyNumberFormat="1" applyFont="1" applyAlignment="1">
      <alignment horizontal="center"/>
    </xf>
    <xf numFmtId="0" fontId="17" fillId="0" borderId="0" xfId="0" applyFont="1"/>
    <xf numFmtId="0" fontId="0" fillId="0" borderId="0" xfId="0" applyAlignment="1">
      <alignment horizontal="center"/>
    </xf>
    <xf numFmtId="0" fontId="17" fillId="0" borderId="0" xfId="0" applyFont="1" applyAlignment="1">
      <alignment horizontal="centerContinuous"/>
    </xf>
    <xf numFmtId="0" fontId="17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1" fontId="5" fillId="0" borderId="1" xfId="3" applyNumberFormat="1" applyFont="1" applyBorder="1" applyAlignment="1">
      <alignment horizontal="center" vertical="center"/>
    </xf>
    <xf numFmtId="1" fontId="5" fillId="0" borderId="0" xfId="3" applyNumberFormat="1" applyFont="1" applyBorder="1" applyAlignment="1">
      <alignment horizontal="center" vertical="center"/>
    </xf>
    <xf numFmtId="0" fontId="5" fillId="0" borderId="0" xfId="3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3" applyFont="1" applyAlignment="1">
      <alignment vertical="center" wrapText="1"/>
    </xf>
    <xf numFmtId="1" fontId="5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/>
    </xf>
    <xf numFmtId="0" fontId="5" fillId="0" borderId="0" xfId="3" applyFont="1" applyAlignment="1">
      <alignment horizontal="center" vertical="center"/>
    </xf>
    <xf numFmtId="0" fontId="5" fillId="0" borderId="0" xfId="0" applyFont="1" applyBorder="1"/>
    <xf numFmtId="0" fontId="5" fillId="0" borderId="0" xfId="0" applyFont="1" applyBorder="1" applyAlignment="1">
      <alignment vertical="top"/>
    </xf>
    <xf numFmtId="0" fontId="5" fillId="0" borderId="0" xfId="0" applyFont="1" applyBorder="1" applyAlignment="1">
      <alignment horizontal="right"/>
    </xf>
    <xf numFmtId="166" fontId="5" fillId="0" borderId="0" xfId="0" applyNumberFormat="1" applyFont="1" applyBorder="1" applyAlignment="1">
      <alignment horizontal="center"/>
    </xf>
    <xf numFmtId="0" fontId="5" fillId="0" borderId="0" xfId="0" applyFont="1" applyFill="1" applyBorder="1" applyAlignment="1"/>
    <xf numFmtId="0" fontId="5" fillId="0" borderId="0" xfId="0" applyFont="1" applyFill="1" applyBorder="1" applyAlignment="1">
      <alignment vertical="top"/>
    </xf>
    <xf numFmtId="0" fontId="5" fillId="0" borderId="0" xfId="0" applyFont="1" applyFill="1" applyBorder="1" applyAlignment="1">
      <alignment horizontal="center" vertical="top"/>
    </xf>
    <xf numFmtId="0" fontId="5" fillId="0" borderId="0" xfId="0" applyFont="1" applyBorder="1" applyAlignment="1"/>
    <xf numFmtId="2" fontId="5" fillId="0" borderId="0" xfId="0" applyNumberFormat="1" applyFont="1" applyFill="1" applyBorder="1" applyAlignment="1">
      <alignment horizontal="center"/>
    </xf>
    <xf numFmtId="0" fontId="5" fillId="0" borderId="1" xfId="3" applyFont="1" applyBorder="1" applyAlignment="1">
      <alignment horizontal="center" vertical="center"/>
    </xf>
    <xf numFmtId="0" fontId="6" fillId="0" borderId="0" xfId="0" applyFont="1" applyBorder="1" applyAlignment="1"/>
    <xf numFmtId="0" fontId="6" fillId="0" borderId="0" xfId="0" applyFont="1" applyBorder="1"/>
    <xf numFmtId="166" fontId="5" fillId="0" borderId="0" xfId="0" applyNumberFormat="1" applyFont="1" applyBorder="1"/>
    <xf numFmtId="0" fontId="5" fillId="0" borderId="0" xfId="3" applyFont="1" applyBorder="1" applyAlignment="1">
      <alignment horizontal="center" vertical="center"/>
    </xf>
    <xf numFmtId="166" fontId="5" fillId="0" borderId="0" xfId="0" applyNumberFormat="1" applyFont="1"/>
    <xf numFmtId="0" fontId="6" fillId="0" borderId="1" xfId="3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/>
    </xf>
    <xf numFmtId="166" fontId="6" fillId="0" borderId="1" xfId="3" applyNumberFormat="1" applyFont="1" applyBorder="1" applyAlignment="1">
      <alignment horizontal="center" vertical="center"/>
    </xf>
    <xf numFmtId="2" fontId="6" fillId="0" borderId="1" xfId="9" applyNumberFormat="1" applyFont="1" applyBorder="1" applyAlignment="1">
      <alignment horizontal="center" vertical="center"/>
    </xf>
    <xf numFmtId="0" fontId="23" fillId="0" borderId="1" xfId="3" applyFont="1" applyBorder="1" applyAlignment="1">
      <alignment horizontal="center" vertical="center"/>
    </xf>
    <xf numFmtId="0" fontId="0" fillId="0" borderId="0" xfId="0" applyBorder="1"/>
    <xf numFmtId="0" fontId="17" fillId="0" borderId="3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5" fillId="0" borderId="0" xfId="3" applyFont="1" applyBorder="1" applyAlignment="1">
      <alignment horizontal="center" vertical="center"/>
    </xf>
    <xf numFmtId="0" fontId="6" fillId="0" borderId="3" xfId="3" applyFont="1" applyBorder="1" applyAlignment="1">
      <alignment horizontal="center" vertical="center"/>
    </xf>
    <xf numFmtId="0" fontId="5" fillId="0" borderId="0" xfId="3" applyFont="1" applyFill="1" applyBorder="1">
      <alignment vertical="center"/>
    </xf>
    <xf numFmtId="0" fontId="5" fillId="0" borderId="0" xfId="3" applyFont="1" applyAlignment="1">
      <alignment vertical="center" wrapText="1"/>
    </xf>
    <xf numFmtId="0" fontId="6" fillId="0" borderId="1" xfId="3" applyFont="1" applyBorder="1" applyAlignment="1">
      <alignment horizontal="center" vertical="center"/>
    </xf>
    <xf numFmtId="0" fontId="5" fillId="0" borderId="0" xfId="3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6" fillId="0" borderId="3" xfId="3" applyFont="1" applyBorder="1" applyAlignment="1">
      <alignment horizontal="center" vertical="center"/>
    </xf>
    <xf numFmtId="166" fontId="5" fillId="0" borderId="0" xfId="3" applyNumberFormat="1" applyFont="1" applyFill="1" applyAlignment="1">
      <alignment horizontal="center"/>
    </xf>
    <xf numFmtId="0" fontId="10" fillId="0" borderId="1" xfId="3" applyFont="1" applyFill="1" applyBorder="1" applyAlignment="1">
      <alignment horizontal="center"/>
    </xf>
    <xf numFmtId="165" fontId="5" fillId="0" borderId="1" xfId="3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2" fontId="5" fillId="0" borderId="1" xfId="3" applyNumberFormat="1" applyFont="1" applyBorder="1" applyAlignment="1">
      <alignment horizontal="center"/>
    </xf>
    <xf numFmtId="0" fontId="6" fillId="0" borderId="3" xfId="3" applyFont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0" fontId="6" fillId="0" borderId="1" xfId="3" applyFont="1" applyFill="1" applyBorder="1" applyAlignment="1">
      <alignment horizontal="center"/>
    </xf>
    <xf numFmtId="1" fontId="5" fillId="0" borderId="1" xfId="3" applyNumberFormat="1" applyFont="1" applyBorder="1" applyAlignment="1">
      <alignment horizont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3" xfId="3" applyFont="1" applyFill="1" applyBorder="1" applyAlignment="1">
      <alignment horizontal="center" vertical="center" wrapText="1"/>
    </xf>
    <xf numFmtId="0" fontId="6" fillId="0" borderId="3" xfId="3" applyFont="1" applyFill="1" applyBorder="1" applyAlignment="1">
      <alignment horizontal="center" vertical="center"/>
    </xf>
    <xf numFmtId="0" fontId="8" fillId="0" borderId="3" xfId="3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 wrapText="1"/>
    </xf>
    <xf numFmtId="0" fontId="6" fillId="0" borderId="5" xfId="3" applyFont="1" applyBorder="1" applyAlignment="1">
      <alignment horizontal="center"/>
    </xf>
    <xf numFmtId="0" fontId="6" fillId="0" borderId="5" xfId="3" applyFont="1" applyFill="1" applyBorder="1" applyAlignment="1">
      <alignment horizontal="center"/>
    </xf>
    <xf numFmtId="0" fontId="6" fillId="0" borderId="5" xfId="3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0" fontId="10" fillId="0" borderId="3" xfId="2" applyFont="1" applyBorder="1" applyAlignment="1">
      <alignment horizontal="center" vertical="center" wrapText="1"/>
    </xf>
    <xf numFmtId="1" fontId="5" fillId="0" borderId="1" xfId="2" applyNumberFormat="1" applyFont="1" applyBorder="1" applyAlignment="1">
      <alignment horizontal="center"/>
    </xf>
    <xf numFmtId="2" fontId="5" fillId="0" borderId="1" xfId="2" applyNumberFormat="1" applyFont="1" applyBorder="1" applyAlignment="1">
      <alignment horizontal="center"/>
    </xf>
    <xf numFmtId="0" fontId="19" fillId="0" borderId="1" xfId="3" applyFont="1" applyBorder="1" applyAlignment="1">
      <alignment horizontal="center" vertical="center"/>
    </xf>
    <xf numFmtId="0" fontId="6" fillId="0" borderId="0" xfId="3" applyFont="1" applyBorder="1">
      <alignment vertical="center"/>
    </xf>
    <xf numFmtId="0" fontId="6" fillId="0" borderId="0" xfId="3" applyFont="1" applyBorder="1" applyAlignment="1">
      <alignment horizontal="left" vertical="center"/>
    </xf>
    <xf numFmtId="0" fontId="5" fillId="0" borderId="1" xfId="3" applyNumberFormat="1" applyFont="1" applyFill="1" applyBorder="1" applyAlignment="1">
      <alignment horizontal="center"/>
    </xf>
    <xf numFmtId="0" fontId="6" fillId="0" borderId="1" xfId="3" applyFont="1" applyBorder="1" applyAlignment="1">
      <alignment horizontal="center" vertical="center"/>
    </xf>
    <xf numFmtId="0" fontId="5" fillId="0" borderId="0" xfId="3" applyFont="1" applyAlignment="1">
      <alignment vertical="center" wrapText="1"/>
    </xf>
    <xf numFmtId="0" fontId="5" fillId="0" borderId="1" xfId="3" applyFont="1" applyBorder="1" applyAlignment="1">
      <alignment horizontal="center" vertical="center"/>
    </xf>
    <xf numFmtId="0" fontId="5" fillId="0" borderId="0" xfId="3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3" xfId="3" applyFont="1" applyBorder="1" applyAlignment="1">
      <alignment horizontal="center" vertical="center" wrapText="1"/>
    </xf>
    <xf numFmtId="0" fontId="6" fillId="0" borderId="5" xfId="3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3" applyFont="1" applyBorder="1" applyAlignment="1">
      <alignment horizontal="center" vertical="center"/>
    </xf>
    <xf numFmtId="0" fontId="5" fillId="0" borderId="0" xfId="3" applyFont="1" applyBorder="1" applyAlignment="1">
      <alignment vertical="center"/>
    </xf>
    <xf numFmtId="0" fontId="0" fillId="3" borderId="5" xfId="0" applyFill="1" applyBorder="1" applyAlignment="1">
      <alignment horizontal="center" vertical="center"/>
    </xf>
    <xf numFmtId="2" fontId="0" fillId="3" borderId="5" xfId="0" applyNumberFormat="1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2" fontId="0" fillId="5" borderId="1" xfId="0" applyNumberForma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0" xfId="3" applyFont="1" applyAlignment="1">
      <alignment vertical="center" wrapText="1"/>
    </xf>
    <xf numFmtId="0" fontId="6" fillId="0" borderId="1" xfId="3" applyFont="1" applyBorder="1" applyAlignment="1">
      <alignment horizontal="center" vertical="center"/>
    </xf>
    <xf numFmtId="0" fontId="5" fillId="0" borderId="0" xfId="3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3" xfId="3" applyFont="1" applyBorder="1" applyAlignment="1">
      <alignment horizontal="center" vertical="center"/>
    </xf>
    <xf numFmtId="0" fontId="6" fillId="0" borderId="3" xfId="3" applyFont="1" applyBorder="1" applyAlignment="1">
      <alignment horizontal="center" vertical="center" wrapText="1"/>
    </xf>
    <xf numFmtId="0" fontId="6" fillId="0" borderId="5" xfId="3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2" fontId="0" fillId="3" borderId="11" xfId="0" applyNumberFormat="1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2" fontId="0" fillId="5" borderId="11" xfId="0" applyNumberForma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5" fillId="0" borderId="0" xfId="3" applyFont="1" applyAlignment="1">
      <alignment vertical="center" wrapText="1"/>
    </xf>
    <xf numFmtId="0" fontId="5" fillId="0" borderId="1" xfId="3" applyFont="1" applyBorder="1" applyAlignment="1">
      <alignment horizontal="center" vertical="center"/>
    </xf>
    <xf numFmtId="0" fontId="5" fillId="0" borderId="0" xfId="3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3" xfId="3" applyFont="1" applyBorder="1" applyAlignment="1">
      <alignment horizontal="center" vertical="center" wrapText="1"/>
    </xf>
    <xf numFmtId="0" fontId="6" fillId="0" borderId="5" xfId="3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/>
    </xf>
    <xf numFmtId="0" fontId="5" fillId="0" borderId="5" xfId="3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" fontId="5" fillId="0" borderId="0" xfId="3" applyNumberFormat="1" applyFont="1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2" fontId="0" fillId="6" borderId="1" xfId="0" applyNumberFormat="1" applyFill="1" applyBorder="1" applyAlignment="1">
      <alignment horizontal="center" vertical="center"/>
    </xf>
    <xf numFmtId="2" fontId="0" fillId="6" borderId="11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1" fontId="5" fillId="0" borderId="0" xfId="2" applyNumberFormat="1" applyFont="1" applyBorder="1" applyAlignment="1">
      <alignment horizontal="center"/>
    </xf>
    <xf numFmtId="2" fontId="5" fillId="0" borderId="0" xfId="2" applyNumberFormat="1" applyFont="1" applyBorder="1" applyAlignment="1">
      <alignment horizontal="center"/>
    </xf>
    <xf numFmtId="0" fontId="0" fillId="8" borderId="0" xfId="0" applyFill="1" applyAlignment="1">
      <alignment horizontal="center"/>
    </xf>
    <xf numFmtId="165" fontId="0" fillId="8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165" fontId="0" fillId="0" borderId="0" xfId="0" applyNumberFormat="1" applyFill="1" applyAlignment="1">
      <alignment horizontal="center"/>
    </xf>
    <xf numFmtId="2" fontId="0" fillId="0" borderId="0" xfId="0" applyNumberFormat="1" applyFill="1" applyAlignment="1">
      <alignment horizontal="center"/>
    </xf>
    <xf numFmtId="0" fontId="0" fillId="0" borderId="5" xfId="0" applyFill="1" applyBorder="1" applyAlignment="1">
      <alignment horizontal="center" vertical="center"/>
    </xf>
    <xf numFmtId="2" fontId="0" fillId="0" borderId="5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2" fontId="0" fillId="0" borderId="1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2" fontId="5" fillId="0" borderId="1" xfId="3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5" fillId="0" borderId="1" xfId="3" applyFont="1" applyBorder="1">
      <alignment vertical="center"/>
    </xf>
    <xf numFmtId="0" fontId="6" fillId="0" borderId="1" xfId="3" applyFont="1" applyBorder="1">
      <alignment vertical="center"/>
    </xf>
    <xf numFmtId="0" fontId="23" fillId="0" borderId="1" xfId="3" applyFont="1" applyBorder="1">
      <alignment vertical="center"/>
    </xf>
    <xf numFmtId="0" fontId="28" fillId="0" borderId="1" xfId="3" applyFont="1" applyBorder="1">
      <alignment vertical="center"/>
    </xf>
    <xf numFmtId="2" fontId="27" fillId="0" borderId="1" xfId="3" applyNumberFormat="1" applyFont="1" applyBorder="1" applyAlignment="1">
      <alignment horizontal="center" vertical="center"/>
    </xf>
    <xf numFmtId="2" fontId="27" fillId="2" borderId="1" xfId="3" applyNumberFormat="1" applyFont="1" applyFill="1" applyBorder="1" applyAlignment="1">
      <alignment horizontal="center" vertical="center"/>
    </xf>
    <xf numFmtId="0" fontId="5" fillId="0" borderId="5" xfId="3" applyFont="1" applyBorder="1">
      <alignment vertical="center"/>
    </xf>
    <xf numFmtId="2" fontId="29" fillId="0" borderId="1" xfId="3" applyNumberFormat="1" applyFont="1" applyBorder="1" applyAlignment="1">
      <alignment horizontal="center" vertical="center"/>
    </xf>
    <xf numFmtId="2" fontId="30" fillId="0" borderId="0" xfId="3" applyNumberFormat="1" applyFont="1">
      <alignment vertical="center"/>
    </xf>
    <xf numFmtId="2" fontId="31" fillId="0" borderId="0" xfId="3" applyNumberFormat="1" applyFont="1">
      <alignment vertical="center"/>
    </xf>
    <xf numFmtId="2" fontId="19" fillId="0" borderId="1" xfId="3" applyNumberFormat="1" applyFont="1" applyBorder="1" applyAlignment="1">
      <alignment horizontal="center" vertical="center"/>
    </xf>
    <xf numFmtId="166" fontId="25" fillId="0" borderId="1" xfId="3" applyNumberFormat="1" applyFont="1" applyBorder="1" applyAlignment="1">
      <alignment horizontal="center" vertical="center"/>
    </xf>
    <xf numFmtId="0" fontId="32" fillId="0" borderId="1" xfId="3" applyFont="1" applyBorder="1">
      <alignment vertical="center"/>
    </xf>
    <xf numFmtId="0" fontId="5" fillId="0" borderId="1" xfId="3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top"/>
    </xf>
    <xf numFmtId="165" fontId="4" fillId="0" borderId="0" xfId="3" applyNumberFormat="1" applyFont="1">
      <alignment vertical="center"/>
    </xf>
    <xf numFmtId="0" fontId="23" fillId="0" borderId="0" xfId="0" applyFont="1"/>
    <xf numFmtId="2" fontId="22" fillId="0" borderId="0" xfId="0" applyNumberFormat="1" applyFont="1" applyBorder="1"/>
    <xf numFmtId="0" fontId="22" fillId="0" borderId="0" xfId="0" applyFont="1"/>
    <xf numFmtId="2" fontId="6" fillId="0" borderId="1" xfId="0" applyNumberFormat="1" applyFont="1" applyBorder="1" applyAlignment="1">
      <alignment horizontal="center"/>
    </xf>
    <xf numFmtId="2" fontId="22" fillId="0" borderId="0" xfId="0" applyNumberFormat="1" applyFont="1" applyAlignment="1">
      <alignment horizontal="center"/>
    </xf>
    <xf numFmtId="2" fontId="22" fillId="0" borderId="0" xfId="3" applyNumberFormat="1" applyFont="1" applyAlignment="1">
      <alignment horizontal="center" vertical="center"/>
    </xf>
    <xf numFmtId="1" fontId="5" fillId="0" borderId="11" xfId="3" applyNumberFormat="1" applyFont="1" applyBorder="1" applyAlignment="1">
      <alignment horizontal="center" vertical="center"/>
    </xf>
    <xf numFmtId="2" fontId="5" fillId="0" borderId="12" xfId="3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top"/>
    </xf>
    <xf numFmtId="0" fontId="6" fillId="0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right" vertical="center"/>
    </xf>
    <xf numFmtId="168" fontId="5" fillId="0" borderId="0" xfId="0" applyNumberFormat="1" applyFont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0" fontId="6" fillId="0" borderId="3" xfId="3" applyFont="1" applyBorder="1" applyAlignment="1">
      <alignment horizontal="center" vertical="center" wrapText="1"/>
    </xf>
    <xf numFmtId="0" fontId="6" fillId="0" borderId="5" xfId="3" applyFont="1" applyBorder="1" applyAlignment="1">
      <alignment horizontal="center" vertical="center" wrapText="1"/>
    </xf>
    <xf numFmtId="1" fontId="6" fillId="0" borderId="11" xfId="3" applyNumberFormat="1" applyFont="1" applyBorder="1" applyAlignment="1">
      <alignment horizontal="center" vertical="center"/>
    </xf>
    <xf numFmtId="1" fontId="6" fillId="0" borderId="13" xfId="3" applyNumberFormat="1" applyFont="1" applyBorder="1" applyAlignment="1">
      <alignment horizontal="center" vertical="center"/>
    </xf>
    <xf numFmtId="1" fontId="6" fillId="0" borderId="12" xfId="3" applyNumberFormat="1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1" fontId="6" fillId="0" borderId="11" xfId="3" applyNumberFormat="1" applyFont="1" applyBorder="1" applyAlignment="1">
      <alignment horizontal="center"/>
    </xf>
    <xf numFmtId="1" fontId="6" fillId="0" borderId="13" xfId="3" applyNumberFormat="1" applyFont="1" applyBorder="1" applyAlignment="1">
      <alignment horizontal="center"/>
    </xf>
    <xf numFmtId="1" fontId="6" fillId="0" borderId="12" xfId="3" applyNumberFormat="1" applyFont="1" applyBorder="1" applyAlignment="1">
      <alignment horizontal="center"/>
    </xf>
    <xf numFmtId="2" fontId="6" fillId="0" borderId="11" xfId="3" applyNumberFormat="1" applyFont="1" applyBorder="1" applyAlignment="1">
      <alignment horizontal="center"/>
    </xf>
    <xf numFmtId="2" fontId="6" fillId="0" borderId="13" xfId="3" applyNumberFormat="1" applyFont="1" applyBorder="1" applyAlignment="1">
      <alignment horizontal="center"/>
    </xf>
    <xf numFmtId="2" fontId="6" fillId="0" borderId="12" xfId="3" applyNumberFormat="1" applyFont="1" applyBorder="1" applyAlignment="1">
      <alignment horizontal="center"/>
    </xf>
    <xf numFmtId="0" fontId="6" fillId="0" borderId="3" xfId="3" applyFont="1" applyBorder="1" applyAlignment="1">
      <alignment horizontal="center" vertical="center"/>
    </xf>
    <xf numFmtId="0" fontId="6" fillId="0" borderId="5" xfId="3" applyFont="1" applyBorder="1" applyAlignment="1">
      <alignment horizontal="center" vertical="center"/>
    </xf>
    <xf numFmtId="0" fontId="7" fillId="0" borderId="0" xfId="3" applyFont="1" applyAlignment="1">
      <alignment horizontal="left" vertical="center" wrapText="1"/>
    </xf>
    <xf numFmtId="1" fontId="6" fillId="0" borderId="11" xfId="2" applyNumberFormat="1" applyFont="1" applyBorder="1" applyAlignment="1">
      <alignment horizontal="center"/>
    </xf>
    <xf numFmtId="1" fontId="6" fillId="0" borderId="13" xfId="2" applyNumberFormat="1" applyFont="1" applyBorder="1" applyAlignment="1">
      <alignment horizontal="center"/>
    </xf>
    <xf numFmtId="1" fontId="6" fillId="0" borderId="12" xfId="2" applyNumberFormat="1" applyFont="1" applyBorder="1" applyAlignment="1">
      <alignment horizontal="center"/>
    </xf>
    <xf numFmtId="0" fontId="5" fillId="0" borderId="0" xfId="2" applyFont="1" applyAlignment="1">
      <alignment horizontal="left" vertical="center" wrapText="1"/>
    </xf>
    <xf numFmtId="0" fontId="5" fillId="0" borderId="11" xfId="3" applyFont="1" applyBorder="1" applyAlignment="1">
      <alignment horizontal="center" vertical="center"/>
    </xf>
    <xf numFmtId="0" fontId="5" fillId="0" borderId="12" xfId="3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0" xfId="3" applyFont="1" applyAlignment="1">
      <alignment horizontal="left" vertical="center" wrapText="1"/>
    </xf>
    <xf numFmtId="0" fontId="25" fillId="0" borderId="3" xfId="3" applyFont="1" applyBorder="1" applyAlignment="1">
      <alignment horizontal="center" vertical="center"/>
    </xf>
    <xf numFmtId="0" fontId="25" fillId="0" borderId="5" xfId="3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/>
    </xf>
    <xf numFmtId="0" fontId="6" fillId="0" borderId="0" xfId="3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2" fontId="6" fillId="0" borderId="11" xfId="3" applyNumberFormat="1" applyFont="1" applyFill="1" applyBorder="1" applyAlignment="1">
      <alignment horizontal="center"/>
    </xf>
    <xf numFmtId="2" fontId="6" fillId="0" borderId="13" xfId="3" applyNumberFormat="1" applyFont="1" applyFill="1" applyBorder="1" applyAlignment="1">
      <alignment horizontal="center"/>
    </xf>
    <xf numFmtId="2" fontId="6" fillId="0" borderId="12" xfId="3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11" xfId="3" applyFont="1" applyBorder="1" applyAlignment="1">
      <alignment horizontal="center" vertical="center" wrapText="1"/>
    </xf>
    <xf numFmtId="0" fontId="6" fillId="0" borderId="12" xfId="3" applyFont="1" applyBorder="1" applyAlignment="1">
      <alignment horizontal="center" vertical="center" wrapText="1"/>
    </xf>
    <xf numFmtId="1" fontId="6" fillId="0" borderId="1" xfId="3" applyNumberFormat="1" applyFont="1" applyBorder="1" applyAlignment="1">
      <alignment horizontal="center"/>
    </xf>
    <xf numFmtId="2" fontId="6" fillId="0" borderId="1" xfId="3" applyNumberFormat="1" applyFont="1" applyBorder="1" applyAlignment="1">
      <alignment horizontal="center" vertical="center"/>
    </xf>
    <xf numFmtId="1" fontId="6" fillId="0" borderId="1" xfId="3" applyNumberFormat="1" applyFont="1" applyFill="1" applyBorder="1" applyAlignment="1">
      <alignment horizontal="center" vertical="center"/>
    </xf>
    <xf numFmtId="1" fontId="6" fillId="0" borderId="1" xfId="3" applyNumberFormat="1" applyFont="1" applyBorder="1" applyAlignment="1">
      <alignment horizontal="center" vertical="center"/>
    </xf>
    <xf numFmtId="1" fontId="6" fillId="0" borderId="1" xfId="3" applyNumberFormat="1" applyFont="1" applyFill="1" applyBorder="1" applyAlignment="1">
      <alignment horizontal="center"/>
    </xf>
    <xf numFmtId="1" fontId="6" fillId="0" borderId="1" xfId="2" applyNumberFormat="1" applyFont="1" applyBorder="1" applyAlignment="1">
      <alignment horizontal="center"/>
    </xf>
    <xf numFmtId="0" fontId="6" fillId="0" borderId="1" xfId="3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26" fillId="0" borderId="1" xfId="0" applyFont="1" applyFill="1" applyBorder="1" applyAlignment="1">
      <alignment horizontal="center" vertical="center"/>
    </xf>
    <xf numFmtId="0" fontId="26" fillId="0" borderId="3" xfId="0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/>
    </xf>
    <xf numFmtId="0" fontId="26" fillId="0" borderId="9" xfId="0" applyFont="1" applyFill="1" applyBorder="1" applyAlignment="1">
      <alignment horizontal="center" vertical="center"/>
    </xf>
    <xf numFmtId="0" fontId="17" fillId="0" borderId="11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17" fillId="0" borderId="1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" fontId="5" fillId="2" borderId="1" xfId="3" applyNumberFormat="1" applyFont="1" applyFill="1" applyBorder="1" applyAlignment="1">
      <alignment horizontal="center"/>
    </xf>
    <xf numFmtId="2" fontId="5" fillId="2" borderId="1" xfId="3" applyNumberFormat="1" applyFont="1" applyFill="1" applyBorder="1" applyAlignment="1">
      <alignment horizontal="center"/>
    </xf>
    <xf numFmtId="165" fontId="5" fillId="2" borderId="1" xfId="3" applyNumberFormat="1" applyFont="1" applyFill="1" applyBorder="1" applyAlignment="1">
      <alignment horizontal="center"/>
    </xf>
    <xf numFmtId="0" fontId="5" fillId="2" borderId="1" xfId="3" applyNumberFormat="1" applyFont="1" applyFill="1" applyBorder="1" applyAlignment="1">
      <alignment horizontal="center"/>
    </xf>
    <xf numFmtId="2" fontId="5" fillId="2" borderId="1" xfId="2" applyNumberFormat="1" applyFont="1" applyFill="1" applyBorder="1" applyAlignment="1">
      <alignment horizontal="center"/>
    </xf>
    <xf numFmtId="2" fontId="4" fillId="2" borderId="0" xfId="3" applyNumberFormat="1" applyFont="1" applyFill="1">
      <alignment vertical="center"/>
    </xf>
    <xf numFmtId="2" fontId="31" fillId="2" borderId="0" xfId="3" applyNumberFormat="1" applyFont="1" applyFill="1">
      <alignment vertical="center"/>
    </xf>
    <xf numFmtId="2" fontId="4" fillId="2" borderId="0" xfId="3" applyNumberFormat="1" applyFont="1" applyFill="1" applyAlignment="1">
      <alignment horizontal="center"/>
    </xf>
    <xf numFmtId="2" fontId="4" fillId="2" borderId="0" xfId="3" applyNumberFormat="1" applyFont="1" applyFill="1" applyAlignment="1">
      <alignment horizontal="center" vertical="center"/>
    </xf>
    <xf numFmtId="2" fontId="4" fillId="2" borderId="0" xfId="2" applyNumberFormat="1" applyFont="1" applyFill="1" applyAlignment="1">
      <alignment horizontal="center"/>
    </xf>
    <xf numFmtId="0" fontId="4" fillId="2" borderId="0" xfId="3" applyFont="1" applyFill="1">
      <alignment vertical="center"/>
    </xf>
    <xf numFmtId="2" fontId="30" fillId="2" borderId="0" xfId="3" applyNumberFormat="1" applyFont="1" applyFill="1">
      <alignment vertical="center"/>
    </xf>
    <xf numFmtId="166" fontId="5" fillId="2" borderId="1" xfId="3" applyNumberFormat="1" applyFont="1" applyFill="1" applyBorder="1" applyAlignment="1">
      <alignment horizontal="center"/>
    </xf>
    <xf numFmtId="0" fontId="4" fillId="2" borderId="0" xfId="3" applyFont="1" applyFill="1" applyAlignment="1">
      <alignment vertical="center"/>
    </xf>
  </cellXfs>
  <cellStyles count="10">
    <cellStyle name="Euro" xfId="1" xr:uid="{00000000-0005-0000-0000-000000000000}"/>
    <cellStyle name="Millares [0]" xfId="9" builtinId="6"/>
    <cellStyle name="Millares 2" xfId="6" xr:uid="{00000000-0005-0000-0000-000001000000}"/>
    <cellStyle name="Normal" xfId="0" builtinId="0"/>
    <cellStyle name="Normal 2" xfId="4" xr:uid="{00000000-0005-0000-0000-000003000000}"/>
    <cellStyle name="Normal 3" xfId="5" xr:uid="{00000000-0005-0000-0000-000004000000}"/>
    <cellStyle name="Normal 4" xfId="7" xr:uid="{00000000-0005-0000-0000-000005000000}"/>
    <cellStyle name="Normal 5" xfId="8" xr:uid="{00000000-0005-0000-0000-00003C000000}"/>
    <cellStyle name="Normal_MAUS-1641-1 Memorias de Cálculo Tuberías Urbanización Parques de Granada Guaicaramo S.A." xfId="2" xr:uid="{00000000-0005-0000-0000-000007000000}"/>
    <cellStyle name="Normal_MAUS-3132 Memorias de Cálculo Tuberías Flexibles Exito Suba Hidroobras" xfId="3" xr:uid="{00000000-0005-0000-0000-00000A000000}"/>
  </cellStyles>
  <dxfs count="16"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50</xdr:row>
      <xdr:rowOff>28575</xdr:rowOff>
    </xdr:from>
    <xdr:to>
      <xdr:col>3</xdr:col>
      <xdr:colOff>0</xdr:colOff>
      <xdr:row>55</xdr:row>
      <xdr:rowOff>0</xdr:rowOff>
    </xdr:to>
    <xdr:grpSp>
      <xdr:nvGrpSpPr>
        <xdr:cNvPr id="2" name="22 Grup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>
          <a:grpSpLocks/>
        </xdr:cNvGrpSpPr>
      </xdr:nvGrpSpPr>
      <xdr:grpSpPr bwMode="auto">
        <a:xfrm>
          <a:off x="885825" y="7686675"/>
          <a:ext cx="1962150" cy="733425"/>
          <a:chOff x="885825" y="25805606"/>
          <a:chExt cx="1793081" cy="804863"/>
        </a:xfrm>
      </xdr:grpSpPr>
      <xdr:sp macro="" textlink="">
        <xdr:nvSpPr>
          <xdr:cNvPr id="3" name="Line 13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SpPr>
            <a:spLocks noChangeShapeType="1"/>
          </xdr:cNvSpPr>
        </xdr:nvSpPr>
        <xdr:spPr bwMode="auto">
          <a:xfrm>
            <a:off x="885825" y="25805606"/>
            <a:ext cx="0" cy="80486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arrow" w="sm" len="med"/>
            <a:tailEnd type="arrow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" name="Line 14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1774031" y="26048494"/>
            <a:ext cx="90487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arrow" w="sm" len="med"/>
            <a:tailEnd type="arrow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 editAs="absolute">
    <xdr:from>
      <xdr:col>1</xdr:col>
      <xdr:colOff>529590</xdr:colOff>
      <xdr:row>261</xdr:row>
      <xdr:rowOff>64770</xdr:rowOff>
    </xdr:from>
    <xdr:to>
      <xdr:col>4</xdr:col>
      <xdr:colOff>99060</xdr:colOff>
      <xdr:row>273</xdr:row>
      <xdr:rowOff>102870</xdr:rowOff>
    </xdr:to>
    <xdr:grpSp>
      <xdr:nvGrpSpPr>
        <xdr:cNvPr id="5" name="74 Grup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pSpPr>
          <a:grpSpLocks/>
        </xdr:cNvGrpSpPr>
      </xdr:nvGrpSpPr>
      <xdr:grpSpPr bwMode="auto">
        <a:xfrm>
          <a:off x="1291590" y="39879270"/>
          <a:ext cx="2417445" cy="1866900"/>
          <a:chOff x="1343025" y="30391894"/>
          <a:chExt cx="2431256" cy="1924050"/>
        </a:xfrm>
      </xdr:grpSpPr>
      <xdr:sp macro="" textlink="">
        <xdr:nvSpPr>
          <xdr:cNvPr id="6" name="Line 38">
            <a:extLst>
              <a:ext uri="{FF2B5EF4-FFF2-40B4-BE49-F238E27FC236}">
                <a16:creationId xmlns:a16="http://schemas.microsoft.com/office/drawing/2014/main" id="{00000000-0008-0000-0600-000006000000}"/>
              </a:ext>
            </a:extLst>
          </xdr:cNvPr>
          <xdr:cNvSpPr>
            <a:spLocks noChangeShapeType="1"/>
          </xdr:cNvSpPr>
        </xdr:nvSpPr>
        <xdr:spPr bwMode="auto">
          <a:xfrm>
            <a:off x="2602706" y="30420469"/>
            <a:ext cx="0" cy="189547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7" name="73 Grupo">
            <a:extLst>
              <a:ext uri="{FF2B5EF4-FFF2-40B4-BE49-F238E27FC236}">
                <a16:creationId xmlns:a16="http://schemas.microsoft.com/office/drawing/2014/main" id="{00000000-0008-0000-0600-000007000000}"/>
              </a:ext>
            </a:extLst>
          </xdr:cNvPr>
          <xdr:cNvGrpSpPr>
            <a:grpSpLocks/>
          </xdr:cNvGrpSpPr>
        </xdr:nvGrpSpPr>
        <xdr:grpSpPr bwMode="auto">
          <a:xfrm>
            <a:off x="1343025" y="30391894"/>
            <a:ext cx="2431256" cy="1924050"/>
            <a:chOff x="1343025" y="30391894"/>
            <a:chExt cx="2431256" cy="1924050"/>
          </a:xfrm>
        </xdr:grpSpPr>
        <xdr:sp macro="" textlink="">
          <xdr:nvSpPr>
            <xdr:cNvPr id="8" name="Rectangle 30">
              <a:extLst>
                <a:ext uri="{FF2B5EF4-FFF2-40B4-BE49-F238E27FC236}">
                  <a16:creationId xmlns:a16="http://schemas.microsoft.com/office/drawing/2014/main" id="{00000000-0008-0000-0600-000008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2250281" y="30420469"/>
              <a:ext cx="257175" cy="1895475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9" name="Line 31">
              <a:extLst>
                <a:ext uri="{FF2B5EF4-FFF2-40B4-BE49-F238E27FC236}">
                  <a16:creationId xmlns:a16="http://schemas.microsoft.com/office/drawing/2014/main" id="{00000000-0008-0000-0600-000009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504950" y="30787181"/>
              <a:ext cx="7548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0" name="Text Box 32">
              <a:extLst>
                <a:ext uri="{FF2B5EF4-FFF2-40B4-BE49-F238E27FC236}">
                  <a16:creationId xmlns:a16="http://schemas.microsoft.com/office/drawing/2014/main" id="{00000000-0008-0000-0600-00000A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343025" y="30714197"/>
              <a:ext cx="228824" cy="117201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0" tIns="0" rIns="0" bIns="0" anchor="t" upright="1"/>
            <a:lstStyle/>
            <a:p>
              <a:pPr algn="l" rtl="0">
                <a:defRPr sz="1000"/>
              </a:pPr>
              <a:r>
                <a:rPr lang="es-CO" sz="9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A</a:t>
              </a:r>
            </a:p>
          </xdr:txBody>
        </xdr:sp>
        <xdr:grpSp>
          <xdr:nvGrpSpPr>
            <xdr:cNvPr id="11" name="Group 33">
              <a:extLst>
                <a:ext uri="{FF2B5EF4-FFF2-40B4-BE49-F238E27FC236}">
                  <a16:creationId xmlns:a16="http://schemas.microsoft.com/office/drawing/2014/main" id="{00000000-0008-0000-0600-00000B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107531" y="30391894"/>
              <a:ext cx="666750" cy="1924050"/>
              <a:chOff x="4941" y="4608"/>
              <a:chExt cx="840" cy="2520"/>
            </a:xfrm>
          </xdr:grpSpPr>
          <xdr:sp macro="" textlink="">
            <xdr:nvSpPr>
              <xdr:cNvPr id="19" name="Line 34">
                <a:extLst>
                  <a:ext uri="{FF2B5EF4-FFF2-40B4-BE49-F238E27FC236}">
                    <a16:creationId xmlns:a16="http://schemas.microsoft.com/office/drawing/2014/main" id="{00000000-0008-0000-0600-000013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4941" y="4608"/>
                <a:ext cx="0" cy="252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0" name="Line 35">
                <a:extLst>
                  <a:ext uri="{FF2B5EF4-FFF2-40B4-BE49-F238E27FC236}">
                    <a16:creationId xmlns:a16="http://schemas.microsoft.com/office/drawing/2014/main" id="{00000000-0008-0000-0600-000014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4941" y="4608"/>
                <a:ext cx="840" cy="72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1" name="Line 36">
                <a:extLst>
                  <a:ext uri="{FF2B5EF4-FFF2-40B4-BE49-F238E27FC236}">
                    <a16:creationId xmlns:a16="http://schemas.microsoft.com/office/drawing/2014/main" id="{00000000-0008-0000-0600-000015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4941" y="7128"/>
                <a:ext cx="840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2" name="Line 37">
                <a:extLst>
                  <a:ext uri="{FF2B5EF4-FFF2-40B4-BE49-F238E27FC236}">
                    <a16:creationId xmlns:a16="http://schemas.microsoft.com/office/drawing/2014/main" id="{00000000-0008-0000-0600-000016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5781" y="5328"/>
                <a:ext cx="0" cy="180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2" name="Line 39">
              <a:extLst>
                <a:ext uri="{FF2B5EF4-FFF2-40B4-BE49-F238E27FC236}">
                  <a16:creationId xmlns:a16="http://schemas.microsoft.com/office/drawing/2014/main" id="{00000000-0008-0000-0600-00000C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564606" y="30930056"/>
              <a:ext cx="7620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3" name="Line 40">
              <a:extLst>
                <a:ext uri="{FF2B5EF4-FFF2-40B4-BE49-F238E27FC236}">
                  <a16:creationId xmlns:a16="http://schemas.microsoft.com/office/drawing/2014/main" id="{00000000-0008-0000-0600-00000D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564606" y="32315944"/>
              <a:ext cx="7620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4" name="Line 41">
              <a:extLst>
                <a:ext uri="{FF2B5EF4-FFF2-40B4-BE49-F238E27FC236}">
                  <a16:creationId xmlns:a16="http://schemas.microsoft.com/office/drawing/2014/main" id="{00000000-0008-0000-0600-00000E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564606" y="30420469"/>
              <a:ext cx="7620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" name="Line 42">
              <a:extLst>
                <a:ext uri="{FF2B5EF4-FFF2-40B4-BE49-F238E27FC236}">
                  <a16:creationId xmlns:a16="http://schemas.microsoft.com/office/drawing/2014/main" id="{00000000-0008-0000-0600-00000F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495425" y="31349156"/>
              <a:ext cx="7548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" name="Text Box 43">
              <a:extLst>
                <a:ext uri="{FF2B5EF4-FFF2-40B4-BE49-F238E27FC236}">
                  <a16:creationId xmlns:a16="http://schemas.microsoft.com/office/drawing/2014/main" id="{00000000-0008-0000-0600-000010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362094" y="31241601"/>
              <a:ext cx="228824" cy="15626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0" tIns="0" rIns="0" bIns="0" anchor="t" upright="1"/>
            <a:lstStyle/>
            <a:p>
              <a:pPr algn="l" rtl="0">
                <a:defRPr sz="1000"/>
              </a:pPr>
              <a:r>
                <a:rPr lang="es-CO" sz="9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</a:t>
              </a:r>
            </a:p>
          </xdr:txBody>
        </xdr:sp>
        <xdr:sp macro="" textlink="">
          <xdr:nvSpPr>
            <xdr:cNvPr id="17" name="Line 42">
              <a:extLst>
                <a:ext uri="{FF2B5EF4-FFF2-40B4-BE49-F238E27FC236}">
                  <a16:creationId xmlns:a16="http://schemas.microsoft.com/office/drawing/2014/main" id="{00000000-0008-0000-0600-000011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495425" y="31942087"/>
              <a:ext cx="7548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" name="Text Box 43">
              <a:extLst>
                <a:ext uri="{FF2B5EF4-FFF2-40B4-BE49-F238E27FC236}">
                  <a16:creationId xmlns:a16="http://schemas.microsoft.com/office/drawing/2014/main" id="{00000000-0008-0000-0600-000012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362094" y="31847140"/>
              <a:ext cx="228824" cy="146501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0" tIns="0" rIns="0" bIns="0" anchor="t" upright="1"/>
            <a:lstStyle/>
            <a:p>
              <a:pPr algn="l" rtl="0">
                <a:defRPr sz="1000"/>
              </a:pPr>
              <a:r>
                <a:rPr lang="es-CO" sz="9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</a:t>
              </a:r>
            </a:p>
          </xdr:txBody>
        </xdr:sp>
      </xdr:grpSp>
    </xdr:grpSp>
    <xdr:clientData/>
  </xdr:twoCellAnchor>
  <xdr:oneCellAnchor>
    <xdr:from>
      <xdr:col>1</xdr:col>
      <xdr:colOff>304800</xdr:colOff>
      <xdr:row>10</xdr:row>
      <xdr:rowOff>123825</xdr:rowOff>
    </xdr:from>
    <xdr:ext cx="3248025" cy="51995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2 CuadroTexto">
              <a:extLst>
                <a:ext uri="{FF2B5EF4-FFF2-40B4-BE49-F238E27FC236}">
                  <a16:creationId xmlns:a16="http://schemas.microsoft.com/office/drawing/2014/main" id="{00000000-0008-0000-0600-000017000000}"/>
                </a:ext>
              </a:extLst>
            </xdr:cNvPr>
            <xdr:cNvSpPr txBox="1"/>
          </xdr:nvSpPr>
          <xdr:spPr>
            <a:xfrm>
              <a:off x="1066800" y="1600200"/>
              <a:ext cx="3248025" cy="5199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𝑞</m:t>
                        </m:r>
                      </m:e>
                      <m:sub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𝑎𝑑𝑚</m:t>
                        </m:r>
                      </m:sub>
                    </m:sSub>
                    <m:r>
                      <m:rPr>
                        <m:nor/>
                      </m:rPr>
                      <a:rPr lang="es-CO" sz="1100" b="0" i="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𝑞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 ∙ </m:t>
                        </m:r>
                        <m:sSub>
                          <m:sSubPr>
                            <m:ctrlP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m:rPr>
                                <m:nor/>
                              </m:rPr>
                              <a:rPr lang="es-CO" sz="1100" b="0" i="0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𝑁</m:t>
                            </m:r>
                          </m:e>
                          <m:sub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𝑞</m:t>
                            </m:r>
                          </m:sub>
                        </m:sSub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num>
                          <m:den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. 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𝛾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 . 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𝐵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𝑁</m:t>
                            </m:r>
                          </m:e>
                          <m:sub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𝛾</m:t>
                            </m:r>
                          </m:sub>
                        </m:sSub>
                      </m:num>
                      <m:den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𝐹𝑆</m:t>
                        </m:r>
                      </m:den>
                    </m:f>
                  </m:oMath>
                </m:oMathPara>
              </a14:m>
              <a:endParaRPr lang="es-CO">
                <a:effectLst/>
              </a:endParaRPr>
            </a:p>
          </xdr:txBody>
        </xdr:sp>
      </mc:Choice>
      <mc:Fallback xmlns="">
        <xdr:sp macro="" textlink="">
          <xdr:nvSpPr>
            <xdr:cNvPr id="23" name="2 CuadroTexto">
              <a:extLst>
                <a:ext uri="{FF2B5EF4-FFF2-40B4-BE49-F238E27FC236}">
                  <a16:creationId xmlns:a16="http://schemas.microsoft.com/office/drawing/2014/main" id="{3BF761D8-4E62-4F06-83A4-00F1A4FB6B4A}"/>
                </a:ext>
              </a:extLst>
            </xdr:cNvPr>
            <xdr:cNvSpPr txBox="1"/>
          </xdr:nvSpPr>
          <xdr:spPr>
            <a:xfrm>
              <a:off x="1066800" y="1600200"/>
              <a:ext cx="3248025" cy="5199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CO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𝑞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_𝑎𝑑𝑚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"= "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"𝑞 ∙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"𝑁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_𝑞+1/2  .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𝛾 . 𝐵 . 𝑁_𝛾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)/𝐹𝑆</a:t>
              </a:r>
              <a:endParaRPr lang="es-CO">
                <a:effectLst/>
              </a:endParaRPr>
            </a:p>
          </xdr:txBody>
        </xdr:sp>
      </mc:Fallback>
    </mc:AlternateContent>
    <xdr:clientData/>
  </xdr:oneCellAnchor>
  <xdr:oneCellAnchor>
    <xdr:from>
      <xdr:col>1</xdr:col>
      <xdr:colOff>638175</xdr:colOff>
      <xdr:row>17</xdr:row>
      <xdr:rowOff>76200</xdr:rowOff>
    </xdr:from>
    <xdr:ext cx="2295525" cy="4221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9 CuadroTexto">
              <a:extLst>
                <a:ext uri="{FF2B5EF4-FFF2-40B4-BE49-F238E27FC236}">
                  <a16:creationId xmlns:a16="http://schemas.microsoft.com/office/drawing/2014/main" id="{00000000-0008-0000-0600-000018000000}"/>
                </a:ext>
              </a:extLst>
            </xdr:cNvPr>
            <xdr:cNvSpPr txBox="1"/>
          </xdr:nvSpPr>
          <xdr:spPr>
            <a:xfrm>
              <a:off x="1400175" y="2733675"/>
              <a:ext cx="2295525" cy="4221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𝑁</m:t>
                        </m:r>
                      </m:e>
                      <m:sub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𝑞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</m:sub>
                    </m:sSub>
                    <m:r>
                      <m:rPr>
                        <m:nor/>
                      </m:rPr>
                      <a:rPr lang="es-CO" sz="1100" b="0" i="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=  </m:t>
                    </m:r>
                    <m:sSup>
                      <m:sSup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tan</m:t>
                        </m:r>
                      </m:e>
                      <m:sup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  <m:r>
                      <m:rPr>
                        <m:nor/>
                      </m:rPr>
                      <a:rPr lang="es-CO" sz="1100" b="0" i="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(45+</m:t>
                    </m:r>
                    <m:f>
                      <m:f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𝜙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′</m:t>
                        </m:r>
                      </m:num>
                      <m:den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r>
                      <m:rPr>
                        <m:nor/>
                      </m:rPr>
                      <a:rPr lang="es-CO" sz="1100" b="0" i="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) ∙</m:t>
                    </m:r>
                    <m:sSup>
                      <m:sSup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𝑒</m:t>
                        </m:r>
                      </m:e>
                      <m:sup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(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𝜋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∙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tan</m:t>
                        </m:r>
                        <m:r>
                          <m:rPr>
                            <m:sty m:val="p"/>
                          </m:rPr>
                          <a:rPr lang="el-G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ϕ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′ )</m:t>
                        </m:r>
                        <m:r>
                          <m:rPr>
                            <m:nor/>
                          </m:rPr>
                          <a:rPr lang="es-CO" sz="1100">
                            <a:effectLst/>
                          </a:rPr>
                          <m:t> </m:t>
                        </m:r>
                      </m:sup>
                    </m:sSup>
                  </m:oMath>
                </m:oMathPara>
              </a14:m>
              <a:endParaRPr lang="es-CO" sz="1100">
                <a:effectLst/>
              </a:endParaRPr>
            </a:p>
          </xdr:txBody>
        </xdr:sp>
      </mc:Choice>
      <mc:Fallback xmlns="">
        <xdr:sp macro="" textlink="">
          <xdr:nvSpPr>
            <xdr:cNvPr id="24" name="9 CuadroTexto">
              <a:extLst>
                <a:ext uri="{FF2B5EF4-FFF2-40B4-BE49-F238E27FC236}">
                  <a16:creationId xmlns:a16="http://schemas.microsoft.com/office/drawing/2014/main" id="{164573A2-7104-4219-9EBC-1C053A267ADB}"/>
                </a:ext>
              </a:extLst>
            </xdr:cNvPr>
            <xdr:cNvSpPr txBox="1"/>
          </xdr:nvSpPr>
          <xdr:spPr>
            <a:xfrm>
              <a:off x="1400175" y="2733675"/>
              <a:ext cx="2295525" cy="4221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"𝑁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_(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𝑞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"=  " 〖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"tan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〗^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2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"(45+"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 𝜙′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/2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") ∙"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𝑒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"(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𝜋∙tan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" ϕ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"′ )</a:t>
              </a:r>
              <a:r>
                <a:rPr lang="es-CO" sz="1100" i="0">
                  <a:effectLst/>
                </a:rPr>
                <a:t> </a:t>
              </a:r>
              <a:r>
                <a:rPr lang="es-CO" sz="1100" i="0">
                  <a:effectLst/>
                  <a:latin typeface="Cambria Math" panose="02040503050406030204" pitchFamily="18" charset="0"/>
                </a:rPr>
                <a:t>"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es-CO" sz="1100">
                <a:effectLst/>
              </a:endParaRPr>
            </a:p>
          </xdr:txBody>
        </xdr:sp>
      </mc:Fallback>
    </mc:AlternateContent>
    <xdr:clientData/>
  </xdr:oneCellAnchor>
  <xdr:oneCellAnchor>
    <xdr:from>
      <xdr:col>2</xdr:col>
      <xdr:colOff>0</xdr:colOff>
      <xdr:row>39</xdr:row>
      <xdr:rowOff>76200</xdr:rowOff>
    </xdr:from>
    <xdr:ext cx="1357423" cy="45845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CuadroTexto 24">
              <a:extLst>
                <a:ext uri="{FF2B5EF4-FFF2-40B4-BE49-F238E27FC236}">
                  <a16:creationId xmlns:a16="http://schemas.microsoft.com/office/drawing/2014/main" id="{00000000-0008-0000-0600-000019000000}"/>
                </a:ext>
              </a:extLst>
            </xdr:cNvPr>
            <xdr:cNvSpPr txBox="1"/>
          </xdr:nvSpPr>
          <xdr:spPr>
            <a:xfrm>
              <a:off x="1895475" y="4762500"/>
              <a:ext cx="1357423" cy="4584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𝐹𝑆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𝐻</m:t>
                        </m:r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 . 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5.7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𝑐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𝛾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−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𝑐</m:t>
                                </m:r>
                              </m:num>
                              <m:den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0.7</m:t>
                                </m:r>
                                <m:sSub>
                                  <m:sSubPr>
                                    <m:ctrlPr>
                                      <a:rPr lang="es-CO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s-CO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𝐵</m:t>
                                    </m:r>
                                  </m:e>
                                  <m:sub>
                                    <m:r>
                                      <a:rPr lang="es-CO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𝑑</m:t>
                                    </m:r>
                                  </m:sub>
                                </m:sSub>
                              </m:den>
                            </m:f>
                          </m:den>
                        </m:f>
                      </m:e>
                    </m:d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5" name="CuadroTexto 24">
              <a:extLst>
                <a:ext uri="{FF2B5EF4-FFF2-40B4-BE49-F238E27FC236}">
                  <a16:creationId xmlns:a16="http://schemas.microsoft.com/office/drawing/2014/main" id="{E68AD572-B2E2-4D05-B6D0-12D7CA6F3AED}"/>
                </a:ext>
              </a:extLst>
            </xdr:cNvPr>
            <xdr:cNvSpPr txBox="1"/>
          </xdr:nvSpPr>
          <xdr:spPr>
            <a:xfrm>
              <a:off x="1895475" y="4762500"/>
              <a:ext cx="1357423" cy="4584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𝐹𝑆=1/𝐻  . (5.7𝑐/(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𝛾−𝑐/(0.7𝐵_𝑑 )))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</xdr:col>
      <xdr:colOff>419100</xdr:colOff>
      <xdr:row>22</xdr:row>
      <xdr:rowOff>28575</xdr:rowOff>
    </xdr:from>
    <xdr:ext cx="2295525" cy="27808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9 CuadroTexto">
              <a:extLst>
                <a:ext uri="{FF2B5EF4-FFF2-40B4-BE49-F238E27FC236}">
                  <a16:creationId xmlns:a16="http://schemas.microsoft.com/office/drawing/2014/main" id="{00000000-0008-0000-0600-00001A000000}"/>
                </a:ext>
              </a:extLst>
            </xdr:cNvPr>
            <xdr:cNvSpPr txBox="1"/>
          </xdr:nvSpPr>
          <xdr:spPr>
            <a:xfrm>
              <a:off x="1181100" y="3457575"/>
              <a:ext cx="2295525" cy="27808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𝑁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γ</m:t>
                        </m:r>
                      </m:sub>
                    </m:sSub>
                    <m:r>
                      <a:rPr lang="es-CO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=2 . </m:t>
                    </m:r>
                    <m:d>
                      <m:d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m:rPr>
                            <m:sty m:val="p"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Nq</m:t>
                        </m:r>
                        <m: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+1</m:t>
                        </m:r>
                      </m:e>
                    </m:d>
                    <m:r>
                      <a:rPr lang="es-CO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</m:t>
                    </m:r>
                    <m:r>
                      <m:rPr>
                        <m:sty m:val="p"/>
                      </m:rPr>
                      <a:rPr lang="es-CO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Tan</m:t>
                    </m:r>
                    <m:r>
                      <a:rPr lang="es-CO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</m:t>
                    </m:r>
                    <m:r>
                      <m:rPr>
                        <m:sty m:val="p"/>
                      </m:rPr>
                      <a:rPr lang="el-GR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ϕ</m:t>
                    </m:r>
                  </m:oMath>
                </m:oMathPara>
              </a14:m>
              <a:endParaRPr lang="es-CO" sz="1100" i="0">
                <a:effectLst/>
              </a:endParaRPr>
            </a:p>
          </xdr:txBody>
        </xdr:sp>
      </mc:Choice>
      <mc:Fallback xmlns="">
        <xdr:sp macro="" textlink="">
          <xdr:nvSpPr>
            <xdr:cNvPr id="26" name="9 CuadroTexto">
              <a:extLst>
                <a:ext uri="{FF2B5EF4-FFF2-40B4-BE49-F238E27FC236}">
                  <a16:creationId xmlns:a16="http://schemas.microsoft.com/office/drawing/2014/main" id="{DAE96F10-13B8-4B20-9324-A10DAD8EF24A}"/>
                </a:ext>
              </a:extLst>
            </xdr:cNvPr>
            <xdr:cNvSpPr txBox="1"/>
          </xdr:nvSpPr>
          <xdr:spPr>
            <a:xfrm>
              <a:off x="1181100" y="3457575"/>
              <a:ext cx="2295525" cy="27808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"𝑁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_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γ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=2 . (Nq+1)  Tan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ϕ</a:t>
              </a:r>
              <a:endParaRPr lang="es-CO" sz="1100" i="0">
                <a:effectLst/>
              </a:endParaRPr>
            </a:p>
          </xdr:txBody>
        </xdr:sp>
      </mc:Fallback>
    </mc:AlternateContent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117443</xdr:colOff>
      <xdr:row>70</xdr:row>
      <xdr:rowOff>27463</xdr:rowOff>
    </xdr:from>
    <xdr:ext cx="1764073" cy="46467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0000000-0008-0000-0F00-000002000000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𝑦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𝐵𝑐</m:t>
                        </m:r>
                      </m:den>
                    </m:f>
                    <m:r>
                      <a:rPr lang="es-CO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sub>
                        </m:sSub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𝐾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num>
                      <m:den>
                        <m:f>
                          <m:fPr>
                            <m:ctrlPr>
                              <a:rPr lang="es-CO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8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𝐸𝐼</m:t>
                            </m:r>
                          </m:num>
                          <m:den>
                            <m:sSup>
                              <m:sSupPr>
                                <m:ctrlPr>
                                  <a:rPr lang="es-CO" sz="110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𝐵𝑐</m:t>
                                </m:r>
                              </m:e>
                              <m:sup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p>
                            </m:sSup>
                          </m:den>
                        </m:f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+0.061 .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′</m:t>
                        </m:r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.100%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74665855-72E0-4220-8F6E-977FFBC5BE73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𝑦/</a:t>
              </a:r>
              <a:r>
                <a:rPr lang="es-CO" sz="1100" b="0" i="0">
                  <a:latin typeface="Cambria Math" panose="02040503050406030204" pitchFamily="18" charset="0"/>
                </a:rPr>
                <a:t>𝐵𝑐</a:t>
              </a:r>
              <a:r>
                <a:rPr lang="es-CO" sz="1100" i="0">
                  <a:latin typeface="Cambria Math" panose="02040503050406030204" pitchFamily="18" charset="0"/>
                </a:rPr>
                <a:t>=(</a:t>
              </a:r>
              <a:r>
                <a:rPr lang="es-CO" sz="1100" b="0" i="0">
                  <a:latin typeface="Cambria Math" panose="02040503050406030204" pitchFamily="18" charset="0"/>
                </a:rPr>
                <a:t>𝐷_𝐿  . 𝐾 . 𝑊)/(8𝐸𝐼/〖𝐵𝑐〗^3 +0.061 .𝐸′).100%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171450</xdr:colOff>
      <xdr:row>109</xdr:row>
      <xdr:rowOff>114300</xdr:rowOff>
    </xdr:from>
    <xdr:ext cx="2151166" cy="48891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0F00-000003000000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𝐹𝑆</m:t>
                        </m:r>
                      </m:den>
                    </m:f>
                    <m:sSup>
                      <m:sSup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32 . </m:t>
                            </m:r>
                            <m:sSub>
                              <m:sSub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𝑊</m:t>
                                </m:r>
                              </m:sub>
                            </m:s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 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𝐵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f>
                              <m:f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𝐸𝐼</m:t>
                                </m:r>
                              </m:num>
                              <m:den>
                                <m:sSup>
                                  <m:sSupPr>
                                    <m:ctrlP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𝐷</m:t>
                                    </m:r>
                                  </m:e>
                                  <m:sup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3</m:t>
                                    </m:r>
                                  </m:sup>
                                </m:sSup>
                              </m:den>
                            </m:f>
                          </m:e>
                        </m:d>
                      </m:e>
                      <m:sup>
                        <m:f>
                          <m:f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D9C743E3-C6E3-4CBC-8CBE-FEA1CB51AECD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b="0" i="0">
                  <a:latin typeface="Cambria Math" panose="02040503050406030204" pitchFamily="18" charset="0"/>
                </a:rPr>
                <a:t>𝑞_𝑎</a:t>
              </a:r>
              <a:r>
                <a:rPr lang="es-CO" sz="1300" i="0">
                  <a:latin typeface="Cambria Math" panose="02040503050406030204" pitchFamily="18" charset="0"/>
                </a:rPr>
                <a:t>=</a:t>
              </a:r>
              <a:r>
                <a:rPr lang="es-CO" sz="1300" b="0" i="0">
                  <a:latin typeface="Cambria Math" panose="02040503050406030204" pitchFamily="18" charset="0"/>
                </a:rPr>
                <a:t>1/𝐹𝑆 (32 . 𝑅_𝑊  . 𝐵^′. 𝐸^′. 𝐸𝐼/𝐷^3 )^(1/2)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47625</xdr:colOff>
      <xdr:row>148</xdr:row>
      <xdr:rowOff>47625</xdr:rowOff>
    </xdr:from>
    <xdr:ext cx="941219" cy="37330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00000000-0008-0000-0F00-000004000000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𝐶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𝐴</m:t>
                        </m:r>
                      </m:den>
                    </m:f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7FA585F2-D224-4907-BCA7-7C5BEE95BDAB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𝜎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_𝐶</a:t>
              </a:r>
              <a:r>
                <a:rPr lang="es-CO" sz="1300" i="0">
                  <a:latin typeface="Cambria Math" panose="02040503050406030204" pitchFamily="18" charset="0"/>
                </a:rPr>
                <a:t>=(</a:t>
              </a:r>
              <a:r>
                <a:rPr lang="es-CO" sz="1300" b="0" i="0">
                  <a:latin typeface="Cambria Math" panose="02040503050406030204" pitchFamily="18" charset="0"/>
                </a:rPr>
                <a:t>𝑊_𝑇  . 𝐵_𝐶)/(2 . 𝐴)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19050</xdr:colOff>
      <xdr:row>136</xdr:row>
      <xdr:rowOff>104775</xdr:rowOff>
    </xdr:from>
    <xdr:ext cx="2254014" cy="3732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0000000-0008-0000-0F00-000005000000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𝛾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. 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𝑑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𝑉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+mn-ea"/>
                      </a:rPr>
                      <m:t>≤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𝑎𝑑𝑚</m:t>
                        </m:r>
                      </m:sub>
                    </m:sSub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BF0A4FF0-400B-4B30-86FF-829BFF2AFD36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_𝑊. ℎ_𝑊+(𝑅_𝑊.𝑊_𝑑)/𝐷+𝑊_𝑉/𝐷</a:t>
              </a:r>
              <a:r>
                <a:rPr lang="es-CO" sz="1300" b="0" i="0">
                  <a:latin typeface="Cambria Math" panose="02040503050406030204" pitchFamily="18" charset="0"/>
                  <a:ea typeface="+mn-ea"/>
                </a:rPr>
                <a:t>≤𝑞_𝑎𝑑𝑚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371475</xdr:colOff>
      <xdr:row>43</xdr:row>
      <xdr:rowOff>104775</xdr:rowOff>
    </xdr:from>
    <xdr:ext cx="1083053" cy="35041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00000000-0008-0000-0F00-000006000000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V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lf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S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sub>
                        </m:sSub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A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LL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B6FC95E8-FA24-4BCA-872A-CA5647AE8925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W_V=(W . lf . L . S_L)/(L_e  . A_LL 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447675</xdr:colOff>
      <xdr:row>48</xdr:row>
      <xdr:rowOff>9525</xdr:rowOff>
    </xdr:from>
    <xdr:ext cx="24987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0000000-0008-0000-0F00-000007000000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A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0.25+1.75.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H</m:t>
                        </m:r>
                      </m:e>
                    </m:d>
                    <m:r>
                      <a:rPr lang="es-CO" sz="1100" b="0" i="0">
                        <a:latin typeface="Cambria Math" panose="02040503050406030204" pitchFamily="18" charset="0"/>
                      </a:rPr>
                      <m:t>∗(0.50+1.75.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AE73E14F-85C6-4365-8E56-79359AE51532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A_LL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(0.25+1.75.H)∗(0.50+1.75.H)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49</xdr:row>
      <xdr:rowOff>66675</xdr:rowOff>
    </xdr:from>
    <xdr:ext cx="10570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0000000-0008-0000-0F00-000008000000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0.5+1.75.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B4C01B43-64D4-4F3A-B9F8-CD87B49BDA2F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0.5+1.75.H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600075</xdr:colOff>
      <xdr:row>50</xdr:row>
      <xdr:rowOff>104775</xdr:rowOff>
    </xdr:from>
    <xdr:ext cx="114396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0000000-0008-0000-0F00-000009000000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S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0.25+1.75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A26FDE78-1752-47D4-AFC3-064B2CB45D1B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S_L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0.25+1.75H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581025</xdr:colOff>
      <xdr:row>51</xdr:row>
      <xdr:rowOff>114300</xdr:rowOff>
    </xdr:from>
    <xdr:ext cx="1332994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0000000-0008-0000-0F00-00000A000000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e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+1.75 . 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3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Bc</m:t>
                            </m:r>
                          </m:num>
                          <m:den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4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620C21AE-680F-403B-85F6-92B2FE852E98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L_e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L+1.75 . (3Bc/4)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495300</xdr:colOff>
      <xdr:row>10</xdr:row>
      <xdr:rowOff>0</xdr:rowOff>
    </xdr:from>
    <xdr:ext cx="1373838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0000000-0008-0000-0F00-00000B000000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d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 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Bd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E37928BC-63CB-42E8-9F23-7D77E209F682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W_d=C_d 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Bd^2  .  </a:t>
              </a:r>
              <a:r>
                <a:rPr lang="es-CO" sz="1100" b="0" i="0">
                  <a:latin typeface="Cambria Math" panose="02040503050406030204" pitchFamily="18" charset="0"/>
                </a:rPr>
                <a:t> Bc/Bd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704850</xdr:colOff>
      <xdr:row>13</xdr:row>
      <xdr:rowOff>133350</xdr:rowOff>
    </xdr:from>
    <xdr:ext cx="1123577" cy="4494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00000000-0008-0000-0F00-00000C000000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e>
                          <m:sup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−2.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m:rPr>
                                <m:sty m:val="p"/>
                              </m:rPr>
                              <a:rPr lang="el-G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μ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Hc</m:t>
                                </m:r>
                              </m:num>
                              <m:den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Bd</m:t>
                                </m:r>
                              </m:den>
                            </m:f>
                          </m:sup>
                        </m:sSup>
                      </m:num>
                      <m:den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k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l-G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μ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653AF493-9059-47C5-8C52-893A321A26DC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C_d=(1−e^(−2.k.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.</a:t>
              </a:r>
              <a:r>
                <a:rPr lang="es-CO" sz="1100" b="0" i="0">
                  <a:latin typeface="Cambria Math" panose="02040503050406030204" pitchFamily="18" charset="0"/>
                </a:rPr>
                <a:t>.Hc/Bd))/(2 . k .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17</xdr:row>
      <xdr:rowOff>85725</xdr:rowOff>
    </xdr:from>
    <xdr:ext cx="1159420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0000000-0008-0000-0F00-00000D000000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k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tan</m:t>
                        </m:r>
                      </m:e>
                      <m:sup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45−</m:t>
                        </m:r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𝜙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D569EF0E-D1DB-4970-96B6-BE7A327412E9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k=tan^2 (45−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𝜙/2)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5</xdr:col>
      <xdr:colOff>142875</xdr:colOff>
      <xdr:row>20</xdr:row>
      <xdr:rowOff>142875</xdr:rowOff>
    </xdr:from>
    <xdr:ext cx="60721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00000000-0008-0000-0F00-00000E000000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l-G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μ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𝑡𝑎𝑛</m:t>
                    </m:r>
                    <m:r>
                      <a:rPr lang="es-CO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𝜙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E8D91476-B433-4180-98A4-296BFDD61CC8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</a:rPr>
                <a:t>=𝑡𝑎𝑛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504825</xdr:colOff>
      <xdr:row>25</xdr:row>
      <xdr:rowOff>85725</xdr:rowOff>
    </xdr:from>
    <xdr:ext cx="1064972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0000000-0008-0000-0F00-00000F000000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c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640440D1-74F9-4088-97CF-81B1AB0D60E9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W_d=Cc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Bc^2  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752475</xdr:colOff>
      <xdr:row>30</xdr:row>
      <xdr:rowOff>47625</xdr:rowOff>
    </xdr:from>
    <xdr:ext cx="54726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00000000-0008-0000-0F00-000010000000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Bc</m:t>
                        </m:r>
                      </m:den>
                    </m:f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82C210AF-8AD9-47F4-BA17-AFD154B5C70B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Cc=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Hc/Bc  </a:t>
              </a:r>
              <a:endParaRPr lang="es-CO" sz="1100" b="0" i="0"/>
            </a:p>
          </xdr:txBody>
        </xdr:sp>
      </mc:Fallback>
    </mc:AlternateContent>
    <xdr:clientData/>
  </xdr:oneCellAnchor>
  <xdr:twoCellAnchor editAs="oneCell">
    <xdr:from>
      <xdr:col>4</xdr:col>
      <xdr:colOff>238125</xdr:colOff>
      <xdr:row>172</xdr:row>
      <xdr:rowOff>125942</xdr:rowOff>
    </xdr:from>
    <xdr:to>
      <xdr:col>9</xdr:col>
      <xdr:colOff>393701</xdr:colOff>
      <xdr:row>193</xdr:row>
      <xdr:rowOff>110571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4625" y="28710467"/>
          <a:ext cx="4407959" cy="3185029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117443</xdr:colOff>
      <xdr:row>72</xdr:row>
      <xdr:rowOff>27463</xdr:rowOff>
    </xdr:from>
    <xdr:ext cx="1764073" cy="46467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0000000-0008-0000-1000-000002000000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𝑦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𝐵𝑐</m:t>
                        </m:r>
                      </m:den>
                    </m:f>
                    <m:r>
                      <a:rPr lang="es-CO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sub>
                        </m:sSub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𝐾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num>
                      <m:den>
                        <m:f>
                          <m:fPr>
                            <m:ctrlPr>
                              <a:rPr lang="es-CO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8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𝐸𝐼</m:t>
                            </m:r>
                          </m:num>
                          <m:den>
                            <m:sSup>
                              <m:sSupPr>
                                <m:ctrlPr>
                                  <a:rPr lang="es-CO" sz="110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𝐵𝑐</m:t>
                                </m:r>
                              </m:e>
                              <m:sup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p>
                            </m:sSup>
                          </m:den>
                        </m:f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+0.061 .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′</m:t>
                        </m:r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.100%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7728BC1A-F695-4D71-A9D0-2B0AC33C39E0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𝑦/</a:t>
              </a:r>
              <a:r>
                <a:rPr lang="es-CO" sz="1100" b="0" i="0">
                  <a:latin typeface="Cambria Math" panose="02040503050406030204" pitchFamily="18" charset="0"/>
                </a:rPr>
                <a:t>𝐵𝑐</a:t>
              </a:r>
              <a:r>
                <a:rPr lang="es-CO" sz="1100" i="0">
                  <a:latin typeface="Cambria Math" panose="02040503050406030204" pitchFamily="18" charset="0"/>
                </a:rPr>
                <a:t>=(</a:t>
              </a:r>
              <a:r>
                <a:rPr lang="es-CO" sz="1100" b="0" i="0">
                  <a:latin typeface="Cambria Math" panose="02040503050406030204" pitchFamily="18" charset="0"/>
                </a:rPr>
                <a:t>𝐷_𝐿  . 𝐾 . 𝑊)/(8𝐸𝐼/〖𝐵𝑐〗^3 +0.061 .𝐸′).100%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171450</xdr:colOff>
      <xdr:row>112</xdr:row>
      <xdr:rowOff>114300</xdr:rowOff>
    </xdr:from>
    <xdr:ext cx="2151166" cy="48891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1000-000003000000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𝐹𝑆</m:t>
                        </m:r>
                      </m:den>
                    </m:f>
                    <m:sSup>
                      <m:sSup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32 . </m:t>
                            </m:r>
                            <m:sSub>
                              <m:sSub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𝑊</m:t>
                                </m:r>
                              </m:sub>
                            </m:s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 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𝐵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f>
                              <m:f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𝐸𝐼</m:t>
                                </m:r>
                              </m:num>
                              <m:den>
                                <m:sSup>
                                  <m:sSupPr>
                                    <m:ctrlP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𝐷</m:t>
                                    </m:r>
                                  </m:e>
                                  <m:sup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3</m:t>
                                    </m:r>
                                  </m:sup>
                                </m:sSup>
                              </m:den>
                            </m:f>
                          </m:e>
                        </m:d>
                      </m:e>
                      <m:sup>
                        <m:f>
                          <m:f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39DAFD4F-A06F-470A-9D06-6661D0535133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b="0" i="0">
                  <a:latin typeface="Cambria Math" panose="02040503050406030204" pitchFamily="18" charset="0"/>
                </a:rPr>
                <a:t>𝑞_𝑎</a:t>
              </a:r>
              <a:r>
                <a:rPr lang="es-CO" sz="1300" i="0">
                  <a:latin typeface="Cambria Math" panose="02040503050406030204" pitchFamily="18" charset="0"/>
                </a:rPr>
                <a:t>=</a:t>
              </a:r>
              <a:r>
                <a:rPr lang="es-CO" sz="1300" b="0" i="0">
                  <a:latin typeface="Cambria Math" panose="02040503050406030204" pitchFamily="18" charset="0"/>
                </a:rPr>
                <a:t>1/𝐹𝑆 (32 . 𝑅_𝑊  . 𝐵^′. 𝐸^′. 𝐸𝐼/𝐷^3 )^(1/2)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47625</xdr:colOff>
      <xdr:row>153</xdr:row>
      <xdr:rowOff>47625</xdr:rowOff>
    </xdr:from>
    <xdr:ext cx="941219" cy="37330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00000000-0008-0000-1000-000004000000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𝐶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𝐴</m:t>
                        </m:r>
                      </m:den>
                    </m:f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95514615-968B-4AC3-A1E7-18F078600EF0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𝜎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_𝐶</a:t>
              </a:r>
              <a:r>
                <a:rPr lang="es-CO" sz="1300" i="0">
                  <a:latin typeface="Cambria Math" panose="02040503050406030204" pitchFamily="18" charset="0"/>
                </a:rPr>
                <a:t>=(</a:t>
              </a:r>
              <a:r>
                <a:rPr lang="es-CO" sz="1300" b="0" i="0">
                  <a:latin typeface="Cambria Math" panose="02040503050406030204" pitchFamily="18" charset="0"/>
                </a:rPr>
                <a:t>𝑊_𝑇  . 𝐵_𝐶)/(2 . 𝐴)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19050</xdr:colOff>
      <xdr:row>140</xdr:row>
      <xdr:rowOff>104775</xdr:rowOff>
    </xdr:from>
    <xdr:ext cx="2254014" cy="3732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0000000-0008-0000-1000-000005000000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𝛾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. 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𝑑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𝑉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+mn-ea"/>
                      </a:rPr>
                      <m:t>≤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𝑎𝑑𝑚</m:t>
                        </m:r>
                      </m:sub>
                    </m:sSub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C6DCE0DE-4BE8-4B8F-810D-04DB029AFEF1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_𝑊. ℎ_𝑊+(𝑅_𝑊.𝑊_𝑑)/𝐷+𝑊_𝑉/𝐷</a:t>
              </a:r>
              <a:r>
                <a:rPr lang="es-CO" sz="1300" b="0" i="0">
                  <a:latin typeface="Cambria Math" panose="02040503050406030204" pitchFamily="18" charset="0"/>
                  <a:ea typeface="+mn-ea"/>
                </a:rPr>
                <a:t>≤𝑞_𝑎𝑑𝑚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371475</xdr:colOff>
      <xdr:row>44</xdr:row>
      <xdr:rowOff>104775</xdr:rowOff>
    </xdr:from>
    <xdr:ext cx="1083053" cy="35041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00000000-0008-0000-1000-000006000000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V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lf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S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sub>
                        </m:sSub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A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LL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FAFB6297-61A6-4F17-B1D0-D54A541C27E6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W_V=(W . lf . L . S_L)/(L_e  . A_LL 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447675</xdr:colOff>
      <xdr:row>49</xdr:row>
      <xdr:rowOff>9525</xdr:rowOff>
    </xdr:from>
    <xdr:ext cx="24987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0000000-0008-0000-1000-000007000000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A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0.25+1.75.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H</m:t>
                        </m:r>
                      </m:e>
                    </m:d>
                    <m:r>
                      <a:rPr lang="es-CO" sz="1100" b="0" i="0">
                        <a:latin typeface="Cambria Math" panose="02040503050406030204" pitchFamily="18" charset="0"/>
                      </a:rPr>
                      <m:t>∗(0.50+1.75.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478B9682-2C17-484E-9D34-762759784D1E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A_LL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(0.25+1.75.H)∗(0.50+1.75.H)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50</xdr:row>
      <xdr:rowOff>66675</xdr:rowOff>
    </xdr:from>
    <xdr:ext cx="10570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0000000-0008-0000-1000-000008000000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0.5+1.75.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A900AE50-081A-4BD8-964A-E233A74ED1F7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0.5+1.75.H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600075</xdr:colOff>
      <xdr:row>51</xdr:row>
      <xdr:rowOff>104775</xdr:rowOff>
    </xdr:from>
    <xdr:ext cx="114396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0000000-0008-0000-1000-000009000000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S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0.25+1.75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8C287402-0F75-493D-B26F-056A423509A0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S_L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0.25+1.75H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581025</xdr:colOff>
      <xdr:row>52</xdr:row>
      <xdr:rowOff>114300</xdr:rowOff>
    </xdr:from>
    <xdr:ext cx="1332994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0000000-0008-0000-1000-00000A000000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e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+1.75 . 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3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Bc</m:t>
                            </m:r>
                          </m:num>
                          <m:den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4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89BD0D5B-B379-4F01-B745-A2B3E57FF49D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L_e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L+1.75 . (3Bc/4)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495300</xdr:colOff>
      <xdr:row>10</xdr:row>
      <xdr:rowOff>0</xdr:rowOff>
    </xdr:from>
    <xdr:ext cx="1373838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0000000-0008-0000-1000-00000B000000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d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 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Bd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2DFCF471-372F-4F92-9F43-AFC4B31A8653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W_d=C_d 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Bd^2  .  </a:t>
              </a:r>
              <a:r>
                <a:rPr lang="es-CO" sz="1100" b="0" i="0">
                  <a:latin typeface="Cambria Math" panose="02040503050406030204" pitchFamily="18" charset="0"/>
                </a:rPr>
                <a:t> Bc/Bd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704850</xdr:colOff>
      <xdr:row>13</xdr:row>
      <xdr:rowOff>133350</xdr:rowOff>
    </xdr:from>
    <xdr:ext cx="1123577" cy="4494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00000000-0008-0000-1000-00000C000000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e>
                          <m:sup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−2.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m:rPr>
                                <m:sty m:val="p"/>
                              </m:rPr>
                              <a:rPr lang="el-G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μ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Hc</m:t>
                                </m:r>
                              </m:num>
                              <m:den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Bd</m:t>
                                </m:r>
                              </m:den>
                            </m:f>
                          </m:sup>
                        </m:sSup>
                      </m:num>
                      <m:den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k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l-G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μ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9D73F7A0-3CE2-4DD7-BD5F-3DC01A34A6B4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C_d=(1−e^(−2.k.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.</a:t>
              </a:r>
              <a:r>
                <a:rPr lang="es-CO" sz="1100" b="0" i="0">
                  <a:latin typeface="Cambria Math" panose="02040503050406030204" pitchFamily="18" charset="0"/>
                </a:rPr>
                <a:t>.Hc/Bd))/(2 . k .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17</xdr:row>
      <xdr:rowOff>85725</xdr:rowOff>
    </xdr:from>
    <xdr:ext cx="1159420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0000000-0008-0000-1000-00000D000000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k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tan</m:t>
                        </m:r>
                      </m:e>
                      <m:sup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45−</m:t>
                        </m:r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𝜙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37FD25E9-109A-4313-AAC1-39EB8FC030B2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k=tan^2 (45−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𝜙/2)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5</xdr:col>
      <xdr:colOff>142875</xdr:colOff>
      <xdr:row>20</xdr:row>
      <xdr:rowOff>142875</xdr:rowOff>
    </xdr:from>
    <xdr:ext cx="60721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00000000-0008-0000-1000-00000E000000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l-G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μ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𝑡𝑎𝑛</m:t>
                    </m:r>
                    <m:r>
                      <a:rPr lang="es-CO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𝜙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D2D74C8C-CD65-47A1-ABED-23621204D925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</a:rPr>
                <a:t>=𝑡𝑎𝑛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504825</xdr:colOff>
      <xdr:row>25</xdr:row>
      <xdr:rowOff>85725</xdr:rowOff>
    </xdr:from>
    <xdr:ext cx="1064972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0000000-0008-0000-1000-00000F000000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c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8D6C41F5-65A0-4A62-928C-9E5A0846C5BA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W_d=Cc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Bc^2  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752475</xdr:colOff>
      <xdr:row>30</xdr:row>
      <xdr:rowOff>47625</xdr:rowOff>
    </xdr:from>
    <xdr:ext cx="54726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00000000-0008-0000-1000-000010000000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Bc</m:t>
                        </m:r>
                      </m:den>
                    </m:f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8E598C45-09DD-40C7-8359-A1B63958BFFD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Cc=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Hc/Bc  </a:t>
              </a:r>
              <a:endParaRPr lang="es-CO" sz="1100" b="0" i="0"/>
            </a:p>
          </xdr:txBody>
        </xdr:sp>
      </mc:Fallback>
    </mc:AlternateContent>
    <xdr:clientData/>
  </xdr:oneCellAnchor>
  <xdr:twoCellAnchor editAs="oneCell">
    <xdr:from>
      <xdr:col>4</xdr:col>
      <xdr:colOff>238125</xdr:colOff>
      <xdr:row>179</xdr:row>
      <xdr:rowOff>125942</xdr:rowOff>
    </xdr:from>
    <xdr:to>
      <xdr:col>9</xdr:col>
      <xdr:colOff>423334</xdr:colOff>
      <xdr:row>200</xdr:row>
      <xdr:rowOff>110571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4625" y="31844192"/>
          <a:ext cx="4407959" cy="3185029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117443</xdr:colOff>
      <xdr:row>72</xdr:row>
      <xdr:rowOff>27463</xdr:rowOff>
    </xdr:from>
    <xdr:ext cx="1764073" cy="46467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0000000-0008-0000-1100-000002000000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𝑦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𝐵𝑐</m:t>
                        </m:r>
                      </m:den>
                    </m:f>
                    <m:r>
                      <a:rPr lang="es-CO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sub>
                        </m:sSub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𝐾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num>
                      <m:den>
                        <m:f>
                          <m:fPr>
                            <m:ctrlPr>
                              <a:rPr lang="es-CO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8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𝐸𝐼</m:t>
                            </m:r>
                          </m:num>
                          <m:den>
                            <m:sSup>
                              <m:sSupPr>
                                <m:ctrlPr>
                                  <a:rPr lang="es-CO" sz="110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𝐵𝑐</m:t>
                                </m:r>
                              </m:e>
                              <m:sup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p>
                            </m:sSup>
                          </m:den>
                        </m:f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+0.061 .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′</m:t>
                        </m:r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.100%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DBB576B9-4EFF-4FF6-B386-FC2FABE179CE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𝑦/</a:t>
              </a:r>
              <a:r>
                <a:rPr lang="es-CO" sz="1100" b="0" i="0">
                  <a:latin typeface="Cambria Math" panose="02040503050406030204" pitchFamily="18" charset="0"/>
                </a:rPr>
                <a:t>𝐵𝑐</a:t>
              </a:r>
              <a:r>
                <a:rPr lang="es-CO" sz="1100" i="0">
                  <a:latin typeface="Cambria Math" panose="02040503050406030204" pitchFamily="18" charset="0"/>
                </a:rPr>
                <a:t>=(</a:t>
              </a:r>
              <a:r>
                <a:rPr lang="es-CO" sz="1100" b="0" i="0">
                  <a:latin typeface="Cambria Math" panose="02040503050406030204" pitchFamily="18" charset="0"/>
                </a:rPr>
                <a:t>𝐷_𝐿  . 𝐾 . 𝑊)/(8𝐸𝐼/〖𝐵𝑐〗^3 +0.061 .𝐸′).100%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171450</xdr:colOff>
      <xdr:row>112</xdr:row>
      <xdr:rowOff>114300</xdr:rowOff>
    </xdr:from>
    <xdr:ext cx="2151166" cy="48891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1100-000003000000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𝐹𝑆</m:t>
                        </m:r>
                      </m:den>
                    </m:f>
                    <m:sSup>
                      <m:sSup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32 . </m:t>
                            </m:r>
                            <m:sSub>
                              <m:sSub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𝑊</m:t>
                                </m:r>
                              </m:sub>
                            </m:s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 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𝐵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f>
                              <m:f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𝐸𝐼</m:t>
                                </m:r>
                              </m:num>
                              <m:den>
                                <m:sSup>
                                  <m:sSupPr>
                                    <m:ctrlP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𝐷</m:t>
                                    </m:r>
                                  </m:e>
                                  <m:sup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3</m:t>
                                    </m:r>
                                  </m:sup>
                                </m:sSup>
                              </m:den>
                            </m:f>
                          </m:e>
                        </m:d>
                      </m:e>
                      <m:sup>
                        <m:f>
                          <m:f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9D9E098D-BA66-4AAB-96BB-EDCF9D56D309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b="0" i="0">
                  <a:latin typeface="Cambria Math" panose="02040503050406030204" pitchFamily="18" charset="0"/>
                </a:rPr>
                <a:t>𝑞_𝑎</a:t>
              </a:r>
              <a:r>
                <a:rPr lang="es-CO" sz="1300" i="0">
                  <a:latin typeface="Cambria Math" panose="02040503050406030204" pitchFamily="18" charset="0"/>
                </a:rPr>
                <a:t>=</a:t>
              </a:r>
              <a:r>
                <a:rPr lang="es-CO" sz="1300" b="0" i="0">
                  <a:latin typeface="Cambria Math" panose="02040503050406030204" pitchFamily="18" charset="0"/>
                </a:rPr>
                <a:t>1/𝐹𝑆 (32 . 𝑅_𝑊  . 𝐵^′. 𝐸^′. 𝐸𝐼/𝐷^3 )^(1/2)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47625</xdr:colOff>
      <xdr:row>153</xdr:row>
      <xdr:rowOff>47625</xdr:rowOff>
    </xdr:from>
    <xdr:ext cx="941219" cy="37330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00000000-0008-0000-1100-000004000000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𝐶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𝐴</m:t>
                        </m:r>
                      </m:den>
                    </m:f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3C45D850-2902-4396-8197-4A4201FA6728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𝜎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_𝐶</a:t>
              </a:r>
              <a:r>
                <a:rPr lang="es-CO" sz="1300" i="0">
                  <a:latin typeface="Cambria Math" panose="02040503050406030204" pitchFamily="18" charset="0"/>
                </a:rPr>
                <a:t>=(</a:t>
              </a:r>
              <a:r>
                <a:rPr lang="es-CO" sz="1300" b="0" i="0">
                  <a:latin typeface="Cambria Math" panose="02040503050406030204" pitchFamily="18" charset="0"/>
                </a:rPr>
                <a:t>𝑊_𝑇  . 𝐵_𝐶)/(2 . 𝐴)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19050</xdr:colOff>
      <xdr:row>140</xdr:row>
      <xdr:rowOff>104775</xdr:rowOff>
    </xdr:from>
    <xdr:ext cx="2254014" cy="3732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0000000-0008-0000-1100-000005000000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𝛾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. 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𝑑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𝑉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+mn-ea"/>
                      </a:rPr>
                      <m:t>≤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𝑎𝑑𝑚</m:t>
                        </m:r>
                      </m:sub>
                    </m:sSub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11B061A9-3E95-478B-A098-4DDB9291042D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_𝑊. ℎ_𝑊+(𝑅_𝑊.𝑊_𝑑)/𝐷+𝑊_𝑉/𝐷</a:t>
              </a:r>
              <a:r>
                <a:rPr lang="es-CO" sz="1300" b="0" i="0">
                  <a:latin typeface="Cambria Math" panose="02040503050406030204" pitchFamily="18" charset="0"/>
                  <a:ea typeface="+mn-ea"/>
                </a:rPr>
                <a:t>≤𝑞_𝑎𝑑𝑚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371475</xdr:colOff>
      <xdr:row>44</xdr:row>
      <xdr:rowOff>104775</xdr:rowOff>
    </xdr:from>
    <xdr:ext cx="1083053" cy="35041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00000000-0008-0000-1100-000006000000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V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lf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S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sub>
                        </m:sSub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A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LL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CEDABC62-79F8-4999-A219-0F04F6697706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W_V=(W . lf . L . S_L)/(L_e  . A_LL 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447675</xdr:colOff>
      <xdr:row>49</xdr:row>
      <xdr:rowOff>9525</xdr:rowOff>
    </xdr:from>
    <xdr:ext cx="24987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0000000-0008-0000-1100-000007000000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A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0.25+1.75.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H</m:t>
                        </m:r>
                      </m:e>
                    </m:d>
                    <m:r>
                      <a:rPr lang="es-CO" sz="1100" b="0" i="0">
                        <a:latin typeface="Cambria Math" panose="02040503050406030204" pitchFamily="18" charset="0"/>
                      </a:rPr>
                      <m:t>∗(0.50+1.75.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52290757-9673-47C2-8FA7-E8D2FC35DD1C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A_LL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(0.25+1.75.H)∗(0.50+1.75.H)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50</xdr:row>
      <xdr:rowOff>66675</xdr:rowOff>
    </xdr:from>
    <xdr:ext cx="10570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0000000-0008-0000-1100-000008000000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0.5+1.75.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9463982D-B2D1-4F19-AF72-C8431C811F40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0.5+1.75.H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600075</xdr:colOff>
      <xdr:row>51</xdr:row>
      <xdr:rowOff>104775</xdr:rowOff>
    </xdr:from>
    <xdr:ext cx="114396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0000000-0008-0000-1100-000009000000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S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0.25+1.75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244C5B27-5F56-4F09-98DE-E5D071D93107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S_L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0.25+1.75H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581025</xdr:colOff>
      <xdr:row>52</xdr:row>
      <xdr:rowOff>114300</xdr:rowOff>
    </xdr:from>
    <xdr:ext cx="1332994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0000000-0008-0000-1100-00000A000000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e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+1.75 . 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3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Bc</m:t>
                            </m:r>
                          </m:num>
                          <m:den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4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B363E4E8-F3D2-4CA9-81C5-A8737A25A07F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L_e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L+1.75 . (3Bc/4)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495300</xdr:colOff>
      <xdr:row>10</xdr:row>
      <xdr:rowOff>0</xdr:rowOff>
    </xdr:from>
    <xdr:ext cx="1373838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0000000-0008-0000-1100-00000B000000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d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 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Bd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DE4C3F67-C3F5-4334-9B7B-246DDC4FDBD4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W_d=C_d 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Bd^2  .  </a:t>
              </a:r>
              <a:r>
                <a:rPr lang="es-CO" sz="1100" b="0" i="0">
                  <a:latin typeface="Cambria Math" panose="02040503050406030204" pitchFamily="18" charset="0"/>
                </a:rPr>
                <a:t> Bc/Bd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704850</xdr:colOff>
      <xdr:row>13</xdr:row>
      <xdr:rowOff>133350</xdr:rowOff>
    </xdr:from>
    <xdr:ext cx="1123577" cy="4494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00000000-0008-0000-1100-00000C000000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e>
                          <m:sup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−2.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m:rPr>
                                <m:sty m:val="p"/>
                              </m:rPr>
                              <a:rPr lang="el-G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μ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Hc</m:t>
                                </m:r>
                              </m:num>
                              <m:den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Bd</m:t>
                                </m:r>
                              </m:den>
                            </m:f>
                          </m:sup>
                        </m:sSup>
                      </m:num>
                      <m:den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k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l-G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μ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6257DFD1-F300-4726-8584-B3302A1EF33F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C_d=(1−e^(−2.k.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.</a:t>
              </a:r>
              <a:r>
                <a:rPr lang="es-CO" sz="1100" b="0" i="0">
                  <a:latin typeface="Cambria Math" panose="02040503050406030204" pitchFamily="18" charset="0"/>
                </a:rPr>
                <a:t>.Hc/Bd))/(2 . k .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17</xdr:row>
      <xdr:rowOff>85725</xdr:rowOff>
    </xdr:from>
    <xdr:ext cx="1159420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0000000-0008-0000-1100-00000D000000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k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tan</m:t>
                        </m:r>
                      </m:e>
                      <m:sup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45−</m:t>
                        </m:r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𝜙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1B22831-3CEB-4089-B5CF-5E57B8E44502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k=tan^2 (45−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𝜙/2)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5</xdr:col>
      <xdr:colOff>142875</xdr:colOff>
      <xdr:row>20</xdr:row>
      <xdr:rowOff>142875</xdr:rowOff>
    </xdr:from>
    <xdr:ext cx="60721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00000000-0008-0000-1100-00000E000000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l-G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μ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𝑡𝑎𝑛</m:t>
                    </m:r>
                    <m:r>
                      <a:rPr lang="es-CO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𝜙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984633EB-C773-4E43-A9F1-E83059C282A1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</a:rPr>
                <a:t>=𝑡𝑎𝑛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504825</xdr:colOff>
      <xdr:row>25</xdr:row>
      <xdr:rowOff>85725</xdr:rowOff>
    </xdr:from>
    <xdr:ext cx="1064972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0000000-0008-0000-1100-00000F000000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c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D5A833A-B3E4-4194-9E54-FF1341D71C50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W_d=Cc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Bc^2  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752475</xdr:colOff>
      <xdr:row>30</xdr:row>
      <xdr:rowOff>47625</xdr:rowOff>
    </xdr:from>
    <xdr:ext cx="54726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00000000-0008-0000-1100-000010000000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Bc</m:t>
                        </m:r>
                      </m:den>
                    </m:f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D2EEDF85-2FC3-41B2-9C88-0DF9D8820E5D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Cc=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Hc/Bc  </a:t>
              </a:r>
              <a:endParaRPr lang="es-CO" sz="1100" b="0" i="0"/>
            </a:p>
          </xdr:txBody>
        </xdr:sp>
      </mc:Fallback>
    </mc:AlternateContent>
    <xdr:clientData/>
  </xdr:oneCellAnchor>
  <xdr:twoCellAnchor editAs="oneCell">
    <xdr:from>
      <xdr:col>4</xdr:col>
      <xdr:colOff>238125</xdr:colOff>
      <xdr:row>179</xdr:row>
      <xdr:rowOff>125942</xdr:rowOff>
    </xdr:from>
    <xdr:to>
      <xdr:col>9</xdr:col>
      <xdr:colOff>365126</xdr:colOff>
      <xdr:row>200</xdr:row>
      <xdr:rowOff>110571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4625" y="29796317"/>
          <a:ext cx="4407959" cy="318502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117443</xdr:colOff>
      <xdr:row>76</xdr:row>
      <xdr:rowOff>27463</xdr:rowOff>
    </xdr:from>
    <xdr:ext cx="1764073" cy="46467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0000000-0008-0000-1200-000002000000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𝑦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𝐵𝑐</m:t>
                        </m:r>
                      </m:den>
                    </m:f>
                    <m:r>
                      <a:rPr lang="es-CO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sub>
                        </m:sSub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𝐾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num>
                      <m:den>
                        <m:f>
                          <m:fPr>
                            <m:ctrlPr>
                              <a:rPr lang="es-CO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8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𝐸𝐼</m:t>
                            </m:r>
                          </m:num>
                          <m:den>
                            <m:sSup>
                              <m:sSupPr>
                                <m:ctrlPr>
                                  <a:rPr lang="es-CO" sz="110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𝐵𝑐</m:t>
                                </m:r>
                              </m:e>
                              <m:sup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p>
                            </m:sSup>
                          </m:den>
                        </m:f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+0.061 .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′</m:t>
                        </m:r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.100%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6A20B1FC-CD6E-43D2-81EA-E749CF0B317A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𝑦/</a:t>
              </a:r>
              <a:r>
                <a:rPr lang="es-CO" sz="1100" b="0" i="0">
                  <a:latin typeface="Cambria Math" panose="02040503050406030204" pitchFamily="18" charset="0"/>
                </a:rPr>
                <a:t>𝐵𝑐</a:t>
              </a:r>
              <a:r>
                <a:rPr lang="es-CO" sz="1100" i="0">
                  <a:latin typeface="Cambria Math" panose="02040503050406030204" pitchFamily="18" charset="0"/>
                </a:rPr>
                <a:t>=(</a:t>
              </a:r>
              <a:r>
                <a:rPr lang="es-CO" sz="1100" b="0" i="0">
                  <a:latin typeface="Cambria Math" panose="02040503050406030204" pitchFamily="18" charset="0"/>
                </a:rPr>
                <a:t>𝐷_𝐿  . 𝐾 . 𝑊)/(8𝐸𝐼/〖𝐵𝑐〗^3 +0.061 .𝐸′).100%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171450</xdr:colOff>
      <xdr:row>118</xdr:row>
      <xdr:rowOff>114300</xdr:rowOff>
    </xdr:from>
    <xdr:ext cx="2151166" cy="48891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1200-000003000000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𝐹𝑆</m:t>
                        </m:r>
                      </m:den>
                    </m:f>
                    <m:sSup>
                      <m:sSup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32 . </m:t>
                            </m:r>
                            <m:sSub>
                              <m:sSub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𝑊</m:t>
                                </m:r>
                              </m:sub>
                            </m:s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 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𝐵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f>
                              <m:f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𝐸𝐼</m:t>
                                </m:r>
                              </m:num>
                              <m:den>
                                <m:sSup>
                                  <m:sSupPr>
                                    <m:ctrlP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𝐷</m:t>
                                    </m:r>
                                  </m:e>
                                  <m:sup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3</m:t>
                                    </m:r>
                                  </m:sup>
                                </m:sSup>
                              </m:den>
                            </m:f>
                          </m:e>
                        </m:d>
                      </m:e>
                      <m:sup>
                        <m:f>
                          <m:f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D7F5DECE-73E9-4EE9-B69A-2811932F1742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b="0" i="0">
                  <a:latin typeface="Cambria Math" panose="02040503050406030204" pitchFamily="18" charset="0"/>
                </a:rPr>
                <a:t>𝑞_𝑎</a:t>
              </a:r>
              <a:r>
                <a:rPr lang="es-CO" sz="1300" i="0">
                  <a:latin typeface="Cambria Math" panose="02040503050406030204" pitchFamily="18" charset="0"/>
                </a:rPr>
                <a:t>=</a:t>
              </a:r>
              <a:r>
                <a:rPr lang="es-CO" sz="1300" b="0" i="0">
                  <a:latin typeface="Cambria Math" panose="02040503050406030204" pitchFamily="18" charset="0"/>
                </a:rPr>
                <a:t>1/𝐹𝑆 (32 . 𝑅_𝑊  . 𝐵^′. 𝐸^′. 𝐸𝐼/𝐷^3 )^(1/2)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47625</xdr:colOff>
      <xdr:row>163</xdr:row>
      <xdr:rowOff>47625</xdr:rowOff>
    </xdr:from>
    <xdr:ext cx="941219" cy="37330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00000000-0008-0000-1200-000004000000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𝐶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𝐴</m:t>
                        </m:r>
                      </m:den>
                    </m:f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A571806-0D21-4944-818D-33A65C443D72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𝜎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_𝐶</a:t>
              </a:r>
              <a:r>
                <a:rPr lang="es-CO" sz="1300" i="0">
                  <a:latin typeface="Cambria Math" panose="02040503050406030204" pitchFamily="18" charset="0"/>
                </a:rPr>
                <a:t>=(</a:t>
              </a:r>
              <a:r>
                <a:rPr lang="es-CO" sz="1300" b="0" i="0">
                  <a:latin typeface="Cambria Math" panose="02040503050406030204" pitchFamily="18" charset="0"/>
                </a:rPr>
                <a:t>𝑊_𝑇  . 𝐵_𝐶)/(2 . 𝐴)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19050</xdr:colOff>
      <xdr:row>148</xdr:row>
      <xdr:rowOff>104775</xdr:rowOff>
    </xdr:from>
    <xdr:ext cx="2254014" cy="3732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0000000-0008-0000-1200-000005000000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𝛾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. 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𝑑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𝑉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+mn-ea"/>
                      </a:rPr>
                      <m:t>≤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𝑎𝑑𝑚</m:t>
                        </m:r>
                      </m:sub>
                    </m:sSub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7F3BB561-E151-49FD-AA50-B7E17CE497A9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_𝑊. ℎ_𝑊+(𝑅_𝑊.𝑊_𝑑)/𝐷+𝑊_𝑉/𝐷</a:t>
              </a:r>
              <a:r>
                <a:rPr lang="es-CO" sz="1300" b="0" i="0">
                  <a:latin typeface="Cambria Math" panose="02040503050406030204" pitchFamily="18" charset="0"/>
                  <a:ea typeface="+mn-ea"/>
                </a:rPr>
                <a:t>≤𝑞_𝑎𝑑𝑚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371475</xdr:colOff>
      <xdr:row>46</xdr:row>
      <xdr:rowOff>104775</xdr:rowOff>
    </xdr:from>
    <xdr:ext cx="1083053" cy="35041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00000000-0008-0000-1200-000006000000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V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lf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S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sub>
                        </m:sSub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A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LL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F8753A6C-8F3A-4998-BB81-8BC9C756FBEB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W_V=(W . lf . L . S_L)/(L_e  . A_LL 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447675</xdr:colOff>
      <xdr:row>51</xdr:row>
      <xdr:rowOff>9525</xdr:rowOff>
    </xdr:from>
    <xdr:ext cx="24987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0000000-0008-0000-1200-000007000000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A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0.25+1.75.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H</m:t>
                        </m:r>
                      </m:e>
                    </m:d>
                    <m:r>
                      <a:rPr lang="es-CO" sz="1100" b="0" i="0">
                        <a:latin typeface="Cambria Math" panose="02040503050406030204" pitchFamily="18" charset="0"/>
                      </a:rPr>
                      <m:t>∗(0.50+1.75.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4FC94A29-E4F0-4E43-9852-A03822DC8E6A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A_LL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(0.25+1.75.H)∗(0.50+1.75.H)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52</xdr:row>
      <xdr:rowOff>66675</xdr:rowOff>
    </xdr:from>
    <xdr:ext cx="10570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0000000-0008-0000-1200-000008000000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0.5+1.75.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C470A099-69BA-4782-A2AF-87E45FA9D9F2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0.5+1.75.H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600075</xdr:colOff>
      <xdr:row>53</xdr:row>
      <xdr:rowOff>104775</xdr:rowOff>
    </xdr:from>
    <xdr:ext cx="114396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0000000-0008-0000-1200-000009000000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S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0.25+1.75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B40B7EA0-E5D6-4A7E-A6A4-4E6A37D27304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S_L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0.25+1.75H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581025</xdr:colOff>
      <xdr:row>54</xdr:row>
      <xdr:rowOff>114300</xdr:rowOff>
    </xdr:from>
    <xdr:ext cx="1332994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0000000-0008-0000-1200-00000A000000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e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+1.75 . 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3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Bc</m:t>
                            </m:r>
                          </m:num>
                          <m:den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4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190FDCBA-AE36-4AA1-8B2B-AFACE2E7BA56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L_e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L+1.75 . (3Bc/4)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495300</xdr:colOff>
      <xdr:row>10</xdr:row>
      <xdr:rowOff>0</xdr:rowOff>
    </xdr:from>
    <xdr:ext cx="1373838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0000000-0008-0000-1200-00000B000000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d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 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Bd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D7A8A065-2295-4E86-8D7F-0FE61FB3861A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W_d=C_d 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Bd^2  .  </a:t>
              </a:r>
              <a:r>
                <a:rPr lang="es-CO" sz="1100" b="0" i="0">
                  <a:latin typeface="Cambria Math" panose="02040503050406030204" pitchFamily="18" charset="0"/>
                </a:rPr>
                <a:t> Bc/Bd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704850</xdr:colOff>
      <xdr:row>13</xdr:row>
      <xdr:rowOff>133350</xdr:rowOff>
    </xdr:from>
    <xdr:ext cx="1123577" cy="4494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00000000-0008-0000-1200-00000C000000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e>
                          <m:sup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−2.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m:rPr>
                                <m:sty m:val="p"/>
                              </m:rPr>
                              <a:rPr lang="el-G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μ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Hc</m:t>
                                </m:r>
                              </m:num>
                              <m:den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Bd</m:t>
                                </m:r>
                              </m:den>
                            </m:f>
                          </m:sup>
                        </m:sSup>
                      </m:num>
                      <m:den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k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l-G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μ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35DE6334-0EFC-444A-A2AD-6FFDCBE2001E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C_d=(1−e^(−2.k.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.</a:t>
              </a:r>
              <a:r>
                <a:rPr lang="es-CO" sz="1100" b="0" i="0">
                  <a:latin typeface="Cambria Math" panose="02040503050406030204" pitchFamily="18" charset="0"/>
                </a:rPr>
                <a:t>.Hc/Bd))/(2 . k .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17</xdr:row>
      <xdr:rowOff>85725</xdr:rowOff>
    </xdr:from>
    <xdr:ext cx="1159420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0000000-0008-0000-1200-00000D000000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k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tan</m:t>
                        </m:r>
                      </m:e>
                      <m:sup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45−</m:t>
                        </m:r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𝜙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F8FEA3DC-EA05-449F-90D8-355A4BE45E40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k=tan^2 (45−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𝜙/2)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5</xdr:col>
      <xdr:colOff>142875</xdr:colOff>
      <xdr:row>20</xdr:row>
      <xdr:rowOff>142875</xdr:rowOff>
    </xdr:from>
    <xdr:ext cx="60721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00000000-0008-0000-1200-00000E000000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l-G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μ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𝑡𝑎𝑛</m:t>
                    </m:r>
                    <m:r>
                      <a:rPr lang="es-CO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𝜙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3A980445-F4A0-400C-BF05-3ED64F9D2E37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</a:rPr>
                <a:t>=𝑡𝑎𝑛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504825</xdr:colOff>
      <xdr:row>25</xdr:row>
      <xdr:rowOff>85725</xdr:rowOff>
    </xdr:from>
    <xdr:ext cx="1064972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0000000-0008-0000-1200-00000F000000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c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B6F42C0E-04AD-405E-98E2-CB99AB16730E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W_d=Cc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Bc^2  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752475</xdr:colOff>
      <xdr:row>30</xdr:row>
      <xdr:rowOff>47625</xdr:rowOff>
    </xdr:from>
    <xdr:ext cx="54726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00000000-0008-0000-1200-000010000000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Bc</m:t>
                        </m:r>
                      </m:den>
                    </m:f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84619D86-2E90-40D4-8539-6E0D19DA25ED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Cc=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Hc/Bc  </a:t>
              </a:r>
              <a:endParaRPr lang="es-CO" sz="1100" b="0" i="0"/>
            </a:p>
          </xdr:txBody>
        </xdr:sp>
      </mc:Fallback>
    </mc:AlternateContent>
    <xdr:clientData/>
  </xdr:oneCellAnchor>
  <xdr:twoCellAnchor editAs="oneCell">
    <xdr:from>
      <xdr:col>4</xdr:col>
      <xdr:colOff>216959</xdr:colOff>
      <xdr:row>193</xdr:row>
      <xdr:rowOff>104776</xdr:rowOff>
    </xdr:from>
    <xdr:to>
      <xdr:col>9</xdr:col>
      <xdr:colOff>561976</xdr:colOff>
      <xdr:row>215</xdr:row>
      <xdr:rowOff>2194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04042" y="31230359"/>
          <a:ext cx="4493684" cy="315708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117443</xdr:colOff>
      <xdr:row>72</xdr:row>
      <xdr:rowOff>27463</xdr:rowOff>
    </xdr:from>
    <xdr:ext cx="1764073" cy="46467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0000000-0008-0000-1300-000002000000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𝑦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𝐵𝑐</m:t>
                        </m:r>
                      </m:den>
                    </m:f>
                    <m:r>
                      <a:rPr lang="es-CO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sub>
                        </m:sSub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𝐾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num>
                      <m:den>
                        <m:f>
                          <m:fPr>
                            <m:ctrlPr>
                              <a:rPr lang="es-CO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8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𝐸𝐼</m:t>
                            </m:r>
                          </m:num>
                          <m:den>
                            <m:sSup>
                              <m:sSupPr>
                                <m:ctrlPr>
                                  <a:rPr lang="es-CO" sz="110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𝐵𝑐</m:t>
                                </m:r>
                              </m:e>
                              <m:sup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p>
                            </m:sSup>
                          </m:den>
                        </m:f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+0.061 .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′</m:t>
                        </m:r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.100%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980A33AF-BE1E-408C-B45C-70931BD85FCC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𝑦/</a:t>
              </a:r>
              <a:r>
                <a:rPr lang="es-CO" sz="1100" b="0" i="0">
                  <a:latin typeface="Cambria Math" panose="02040503050406030204" pitchFamily="18" charset="0"/>
                </a:rPr>
                <a:t>𝐵𝑐</a:t>
              </a:r>
              <a:r>
                <a:rPr lang="es-CO" sz="1100" i="0">
                  <a:latin typeface="Cambria Math" panose="02040503050406030204" pitchFamily="18" charset="0"/>
                </a:rPr>
                <a:t>=(</a:t>
              </a:r>
              <a:r>
                <a:rPr lang="es-CO" sz="1100" b="0" i="0">
                  <a:latin typeface="Cambria Math" panose="02040503050406030204" pitchFamily="18" charset="0"/>
                </a:rPr>
                <a:t>𝐷_𝐿  . 𝐾 . 𝑊)/(8𝐸𝐼/〖𝐵𝑐〗^3 +0.061 .𝐸′).100%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171450</xdr:colOff>
      <xdr:row>112</xdr:row>
      <xdr:rowOff>114300</xdr:rowOff>
    </xdr:from>
    <xdr:ext cx="2151166" cy="48891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1300-000003000000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𝐹𝑆</m:t>
                        </m:r>
                      </m:den>
                    </m:f>
                    <m:sSup>
                      <m:sSup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32 . </m:t>
                            </m:r>
                            <m:sSub>
                              <m:sSub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𝑊</m:t>
                                </m:r>
                              </m:sub>
                            </m:s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 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𝐵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f>
                              <m:f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𝐸𝐼</m:t>
                                </m:r>
                              </m:num>
                              <m:den>
                                <m:sSup>
                                  <m:sSupPr>
                                    <m:ctrlP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𝐷</m:t>
                                    </m:r>
                                  </m:e>
                                  <m:sup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3</m:t>
                                    </m:r>
                                  </m:sup>
                                </m:sSup>
                              </m:den>
                            </m:f>
                          </m:e>
                        </m:d>
                      </m:e>
                      <m:sup>
                        <m:f>
                          <m:f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B6442536-D720-45CB-86A7-A147936C46C6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b="0" i="0">
                  <a:latin typeface="Cambria Math" panose="02040503050406030204" pitchFamily="18" charset="0"/>
                </a:rPr>
                <a:t>𝑞_𝑎</a:t>
              </a:r>
              <a:r>
                <a:rPr lang="es-CO" sz="1300" i="0">
                  <a:latin typeface="Cambria Math" panose="02040503050406030204" pitchFamily="18" charset="0"/>
                </a:rPr>
                <a:t>=</a:t>
              </a:r>
              <a:r>
                <a:rPr lang="es-CO" sz="1300" b="0" i="0">
                  <a:latin typeface="Cambria Math" panose="02040503050406030204" pitchFamily="18" charset="0"/>
                </a:rPr>
                <a:t>1/𝐹𝑆 (32 . 𝑅_𝑊  . 𝐵^′. 𝐸^′. 𝐸𝐼/𝐷^3 )^(1/2)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47625</xdr:colOff>
      <xdr:row>153</xdr:row>
      <xdr:rowOff>47625</xdr:rowOff>
    </xdr:from>
    <xdr:ext cx="941219" cy="37330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00000000-0008-0000-1300-000004000000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𝐶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𝐴</m:t>
                        </m:r>
                      </m:den>
                    </m:f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7B6F4B23-96BE-4297-B322-E973E5B30A7D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𝜎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_𝐶</a:t>
              </a:r>
              <a:r>
                <a:rPr lang="es-CO" sz="1300" i="0">
                  <a:latin typeface="Cambria Math" panose="02040503050406030204" pitchFamily="18" charset="0"/>
                </a:rPr>
                <a:t>=(</a:t>
              </a:r>
              <a:r>
                <a:rPr lang="es-CO" sz="1300" b="0" i="0">
                  <a:latin typeface="Cambria Math" panose="02040503050406030204" pitchFamily="18" charset="0"/>
                </a:rPr>
                <a:t>𝑊_𝑇  . 𝐵_𝐶)/(2 . 𝐴)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19050</xdr:colOff>
      <xdr:row>140</xdr:row>
      <xdr:rowOff>104775</xdr:rowOff>
    </xdr:from>
    <xdr:ext cx="2254014" cy="3732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0000000-0008-0000-1300-000005000000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𝛾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. 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𝑑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𝑉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+mn-ea"/>
                      </a:rPr>
                      <m:t>≤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𝑎𝑑𝑚</m:t>
                        </m:r>
                      </m:sub>
                    </m:sSub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EC7907C-93F0-437A-A469-CF32DDBDCCDD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_𝑊. ℎ_𝑊+(𝑅_𝑊.𝑊_𝑑)/𝐷+𝑊_𝑉/𝐷</a:t>
              </a:r>
              <a:r>
                <a:rPr lang="es-CO" sz="1300" b="0" i="0">
                  <a:latin typeface="Cambria Math" panose="02040503050406030204" pitchFamily="18" charset="0"/>
                  <a:ea typeface="+mn-ea"/>
                </a:rPr>
                <a:t>≤𝑞_𝑎𝑑𝑚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371475</xdr:colOff>
      <xdr:row>44</xdr:row>
      <xdr:rowOff>104775</xdr:rowOff>
    </xdr:from>
    <xdr:ext cx="1083053" cy="35041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00000000-0008-0000-1300-000006000000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V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lf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S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sub>
                        </m:sSub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A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LL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30A9E876-3305-45DE-BA34-8DE14E158874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W_V=(W . lf . L . S_L)/(L_e  . A_LL 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447675</xdr:colOff>
      <xdr:row>49</xdr:row>
      <xdr:rowOff>9525</xdr:rowOff>
    </xdr:from>
    <xdr:ext cx="24987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0000000-0008-0000-1300-000007000000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A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0.25+1.75.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H</m:t>
                        </m:r>
                      </m:e>
                    </m:d>
                    <m:r>
                      <a:rPr lang="es-CO" sz="1100" b="0" i="0">
                        <a:latin typeface="Cambria Math" panose="02040503050406030204" pitchFamily="18" charset="0"/>
                      </a:rPr>
                      <m:t>∗(0.50+1.75.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87F7D12F-409D-466A-9558-11D092FB35B4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A_LL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(0.25+1.75.H)∗(0.50+1.75.H)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50</xdr:row>
      <xdr:rowOff>66675</xdr:rowOff>
    </xdr:from>
    <xdr:ext cx="10570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0000000-0008-0000-1300-000008000000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0.5+1.75.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F29A88B8-51D6-4958-BECF-ACA1F81E7580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0.5+1.75.H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600075</xdr:colOff>
      <xdr:row>51</xdr:row>
      <xdr:rowOff>104775</xdr:rowOff>
    </xdr:from>
    <xdr:ext cx="114396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0000000-0008-0000-1300-000009000000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S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0.25+1.75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6D01BF69-1C87-40ED-B29D-B967E53082B4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S_L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0.25+1.75H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581025</xdr:colOff>
      <xdr:row>52</xdr:row>
      <xdr:rowOff>114300</xdr:rowOff>
    </xdr:from>
    <xdr:ext cx="1332994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0000000-0008-0000-1300-00000A000000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e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+1.75 . 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3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Bc</m:t>
                            </m:r>
                          </m:num>
                          <m:den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4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A6D88041-8654-4696-A994-772814A28B1C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L_e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L+1.75 . (3Bc/4)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495300</xdr:colOff>
      <xdr:row>10</xdr:row>
      <xdr:rowOff>0</xdr:rowOff>
    </xdr:from>
    <xdr:ext cx="1373838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0000000-0008-0000-1300-00000B000000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d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 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Bd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BD111854-693F-4D72-BEAB-B8026D1757EC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W_d=C_d 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Bd^2  .  </a:t>
              </a:r>
              <a:r>
                <a:rPr lang="es-CO" sz="1100" b="0" i="0">
                  <a:latin typeface="Cambria Math" panose="02040503050406030204" pitchFamily="18" charset="0"/>
                </a:rPr>
                <a:t> Bc/Bd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704850</xdr:colOff>
      <xdr:row>13</xdr:row>
      <xdr:rowOff>133350</xdr:rowOff>
    </xdr:from>
    <xdr:ext cx="1123577" cy="4494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00000000-0008-0000-1300-00000C000000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e>
                          <m:sup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−2.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m:rPr>
                                <m:sty m:val="p"/>
                              </m:rPr>
                              <a:rPr lang="el-G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μ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Hc</m:t>
                                </m:r>
                              </m:num>
                              <m:den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Bd</m:t>
                                </m:r>
                              </m:den>
                            </m:f>
                          </m:sup>
                        </m:sSup>
                      </m:num>
                      <m:den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k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l-G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μ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F4A74843-2996-4368-9E3C-A2502D81A1F9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C_d=(1−e^(−2.k.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.</a:t>
              </a:r>
              <a:r>
                <a:rPr lang="es-CO" sz="1100" b="0" i="0">
                  <a:latin typeface="Cambria Math" panose="02040503050406030204" pitchFamily="18" charset="0"/>
                </a:rPr>
                <a:t>.Hc/Bd))/(2 . k .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17</xdr:row>
      <xdr:rowOff>85725</xdr:rowOff>
    </xdr:from>
    <xdr:ext cx="1159420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0000000-0008-0000-1300-00000D000000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k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tan</m:t>
                        </m:r>
                      </m:e>
                      <m:sup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45−</m:t>
                        </m:r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𝜙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E0B00275-1492-49B1-9CF8-83280A388FCF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k=tan^2 (45−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𝜙/2)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5</xdr:col>
      <xdr:colOff>142875</xdr:colOff>
      <xdr:row>20</xdr:row>
      <xdr:rowOff>142875</xdr:rowOff>
    </xdr:from>
    <xdr:ext cx="60721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00000000-0008-0000-1300-00000E000000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l-G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μ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𝑡𝑎𝑛</m:t>
                    </m:r>
                    <m:r>
                      <a:rPr lang="es-CO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𝜙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DFE37300-08DC-4301-89FD-C4D5E7BE6BB5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</a:rPr>
                <a:t>=𝑡𝑎𝑛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504825</xdr:colOff>
      <xdr:row>25</xdr:row>
      <xdr:rowOff>85725</xdr:rowOff>
    </xdr:from>
    <xdr:ext cx="1064972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0000000-0008-0000-1300-00000F000000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c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5660D782-9C20-4A23-A3F4-A9F16E9A4227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W_d=Cc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Bc^2  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752475</xdr:colOff>
      <xdr:row>30</xdr:row>
      <xdr:rowOff>47625</xdr:rowOff>
    </xdr:from>
    <xdr:ext cx="54726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00000000-0008-0000-1300-000010000000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Bc</m:t>
                        </m:r>
                      </m:den>
                    </m:f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F83B5A47-2EA3-4F12-8531-F7F1357D6435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Cc=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Hc/Bc  </a:t>
              </a:r>
              <a:endParaRPr lang="es-CO" sz="1100" b="0" i="0"/>
            </a:p>
          </xdr:txBody>
        </xdr:sp>
      </mc:Fallback>
    </mc:AlternateContent>
    <xdr:clientData/>
  </xdr:oneCellAnchor>
  <xdr:twoCellAnchor editAs="oneCell">
    <xdr:from>
      <xdr:col>4</xdr:col>
      <xdr:colOff>238125</xdr:colOff>
      <xdr:row>179</xdr:row>
      <xdr:rowOff>125942</xdr:rowOff>
    </xdr:from>
    <xdr:to>
      <xdr:col>9</xdr:col>
      <xdr:colOff>513293</xdr:colOff>
      <xdr:row>200</xdr:row>
      <xdr:rowOff>110571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4625" y="29796317"/>
          <a:ext cx="4407959" cy="318502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117443</xdr:colOff>
      <xdr:row>72</xdr:row>
      <xdr:rowOff>27463</xdr:rowOff>
    </xdr:from>
    <xdr:ext cx="1764073" cy="46467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0000000-0008-0000-1400-000002000000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𝑦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𝐵𝑐</m:t>
                        </m:r>
                      </m:den>
                    </m:f>
                    <m:r>
                      <a:rPr lang="es-CO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sub>
                        </m:sSub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𝐾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num>
                      <m:den>
                        <m:f>
                          <m:fPr>
                            <m:ctrlPr>
                              <a:rPr lang="es-CO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8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𝐸𝐼</m:t>
                            </m:r>
                          </m:num>
                          <m:den>
                            <m:sSup>
                              <m:sSupPr>
                                <m:ctrlPr>
                                  <a:rPr lang="es-CO" sz="110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𝐵𝑐</m:t>
                                </m:r>
                              </m:e>
                              <m:sup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p>
                            </m:sSup>
                          </m:den>
                        </m:f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+0.061 .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′</m:t>
                        </m:r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.100%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D093CEDD-5422-4CFC-8D2E-7CF56DEAF22F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𝑦/</a:t>
              </a:r>
              <a:r>
                <a:rPr lang="es-CO" sz="1100" b="0" i="0">
                  <a:latin typeface="Cambria Math" panose="02040503050406030204" pitchFamily="18" charset="0"/>
                </a:rPr>
                <a:t>𝐵𝑐</a:t>
              </a:r>
              <a:r>
                <a:rPr lang="es-CO" sz="1100" i="0">
                  <a:latin typeface="Cambria Math" panose="02040503050406030204" pitchFamily="18" charset="0"/>
                </a:rPr>
                <a:t>=(</a:t>
              </a:r>
              <a:r>
                <a:rPr lang="es-CO" sz="1100" b="0" i="0">
                  <a:latin typeface="Cambria Math" panose="02040503050406030204" pitchFamily="18" charset="0"/>
                </a:rPr>
                <a:t>𝐷_𝐿  . 𝐾 . 𝑊)/(8𝐸𝐼/〖𝐵𝑐〗^3 +0.061 .𝐸′).100%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171450</xdr:colOff>
      <xdr:row>112</xdr:row>
      <xdr:rowOff>114300</xdr:rowOff>
    </xdr:from>
    <xdr:ext cx="2151166" cy="48891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1400-000003000000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𝐹𝑆</m:t>
                        </m:r>
                      </m:den>
                    </m:f>
                    <m:sSup>
                      <m:sSup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32 . </m:t>
                            </m:r>
                            <m:sSub>
                              <m:sSub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𝑊</m:t>
                                </m:r>
                              </m:sub>
                            </m:s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 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𝐵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f>
                              <m:f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𝐸𝐼</m:t>
                                </m:r>
                              </m:num>
                              <m:den>
                                <m:sSup>
                                  <m:sSupPr>
                                    <m:ctrlP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𝐷</m:t>
                                    </m:r>
                                  </m:e>
                                  <m:sup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3</m:t>
                                    </m:r>
                                  </m:sup>
                                </m:sSup>
                              </m:den>
                            </m:f>
                          </m:e>
                        </m:d>
                      </m:e>
                      <m:sup>
                        <m:f>
                          <m:f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825B148C-C24F-497D-8A5C-907838B9D329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b="0" i="0">
                  <a:latin typeface="Cambria Math" panose="02040503050406030204" pitchFamily="18" charset="0"/>
                </a:rPr>
                <a:t>𝑞_𝑎</a:t>
              </a:r>
              <a:r>
                <a:rPr lang="es-CO" sz="1300" i="0">
                  <a:latin typeface="Cambria Math" panose="02040503050406030204" pitchFamily="18" charset="0"/>
                </a:rPr>
                <a:t>=</a:t>
              </a:r>
              <a:r>
                <a:rPr lang="es-CO" sz="1300" b="0" i="0">
                  <a:latin typeface="Cambria Math" panose="02040503050406030204" pitchFamily="18" charset="0"/>
                </a:rPr>
                <a:t>1/𝐹𝑆 (32 . 𝑅_𝑊  . 𝐵^′. 𝐸^′. 𝐸𝐼/𝐷^3 )^(1/2)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47625</xdr:colOff>
      <xdr:row>153</xdr:row>
      <xdr:rowOff>47625</xdr:rowOff>
    </xdr:from>
    <xdr:ext cx="941219" cy="37330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00000000-0008-0000-1400-000004000000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𝐶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𝐴</m:t>
                        </m:r>
                      </m:den>
                    </m:f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6106A9A-DB82-49A5-9433-628E34FE4099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𝜎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_𝐶</a:t>
              </a:r>
              <a:r>
                <a:rPr lang="es-CO" sz="1300" i="0">
                  <a:latin typeface="Cambria Math" panose="02040503050406030204" pitchFamily="18" charset="0"/>
                </a:rPr>
                <a:t>=(</a:t>
              </a:r>
              <a:r>
                <a:rPr lang="es-CO" sz="1300" b="0" i="0">
                  <a:latin typeface="Cambria Math" panose="02040503050406030204" pitchFamily="18" charset="0"/>
                </a:rPr>
                <a:t>𝑊_𝑇  . 𝐵_𝐶)/(2 . 𝐴)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19050</xdr:colOff>
      <xdr:row>140</xdr:row>
      <xdr:rowOff>104775</xdr:rowOff>
    </xdr:from>
    <xdr:ext cx="2254014" cy="3732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0000000-0008-0000-1400-000005000000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𝛾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. 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𝑑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𝑉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+mn-ea"/>
                      </a:rPr>
                      <m:t>≤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𝑎𝑑𝑚</m:t>
                        </m:r>
                      </m:sub>
                    </m:sSub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C67CC3E1-32CC-4F19-B981-8C2578C7E758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_𝑊. ℎ_𝑊+(𝑅_𝑊.𝑊_𝑑)/𝐷+𝑊_𝑉/𝐷</a:t>
              </a:r>
              <a:r>
                <a:rPr lang="es-CO" sz="1300" b="0" i="0">
                  <a:latin typeface="Cambria Math" panose="02040503050406030204" pitchFamily="18" charset="0"/>
                  <a:ea typeface="+mn-ea"/>
                </a:rPr>
                <a:t>≤𝑞_𝑎𝑑𝑚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371475</xdr:colOff>
      <xdr:row>44</xdr:row>
      <xdr:rowOff>104775</xdr:rowOff>
    </xdr:from>
    <xdr:ext cx="1083053" cy="35041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00000000-0008-0000-1400-000006000000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V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lf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S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sub>
                        </m:sSub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A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LL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ED52CEA8-48C7-45C2-B26A-9EADBA3BD154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W_V=(W . lf . L . S_L)/(L_e  . A_LL 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447675</xdr:colOff>
      <xdr:row>49</xdr:row>
      <xdr:rowOff>9525</xdr:rowOff>
    </xdr:from>
    <xdr:ext cx="24987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0000000-0008-0000-1400-000007000000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A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0.25+1.75.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H</m:t>
                        </m:r>
                      </m:e>
                    </m:d>
                    <m:r>
                      <a:rPr lang="es-CO" sz="1100" b="0" i="0">
                        <a:latin typeface="Cambria Math" panose="02040503050406030204" pitchFamily="18" charset="0"/>
                      </a:rPr>
                      <m:t>∗(0.50+1.75.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17CB4A1C-9933-4CEF-8F5F-C05BEA10CAC4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A_LL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(0.25+1.75.H)∗(0.50+1.75.H)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50</xdr:row>
      <xdr:rowOff>66675</xdr:rowOff>
    </xdr:from>
    <xdr:ext cx="10570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0000000-0008-0000-1400-000008000000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0.5+1.75.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F8B6B16B-1453-4A8D-B32B-A86527D2BC42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0.5+1.75.H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600075</xdr:colOff>
      <xdr:row>51</xdr:row>
      <xdr:rowOff>104775</xdr:rowOff>
    </xdr:from>
    <xdr:ext cx="114396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0000000-0008-0000-1400-000009000000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S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0.25+1.75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BBBD45CC-6800-4E90-95D2-9D4D3EA3224F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S_L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0.25+1.75H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581025</xdr:colOff>
      <xdr:row>52</xdr:row>
      <xdr:rowOff>114300</xdr:rowOff>
    </xdr:from>
    <xdr:ext cx="1332994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0000000-0008-0000-1400-00000A000000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e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+1.75 . 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3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Bc</m:t>
                            </m:r>
                          </m:num>
                          <m:den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4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FF7F76DC-20DD-4E39-9F7A-B4A2A6DCE08F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L_e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L+1.75 . (3Bc/4)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495300</xdr:colOff>
      <xdr:row>10</xdr:row>
      <xdr:rowOff>0</xdr:rowOff>
    </xdr:from>
    <xdr:ext cx="1373838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0000000-0008-0000-1400-00000B000000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d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 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Bd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17FA1E21-030D-4031-AB56-5E3663E78B70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W_d=C_d 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Bd^2  .  </a:t>
              </a:r>
              <a:r>
                <a:rPr lang="es-CO" sz="1100" b="0" i="0">
                  <a:latin typeface="Cambria Math" panose="02040503050406030204" pitchFamily="18" charset="0"/>
                </a:rPr>
                <a:t> Bc/Bd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704850</xdr:colOff>
      <xdr:row>13</xdr:row>
      <xdr:rowOff>133350</xdr:rowOff>
    </xdr:from>
    <xdr:ext cx="1123577" cy="4494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00000000-0008-0000-1400-00000C000000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e>
                          <m:sup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−2.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m:rPr>
                                <m:sty m:val="p"/>
                              </m:rPr>
                              <a:rPr lang="el-G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μ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Hc</m:t>
                                </m:r>
                              </m:num>
                              <m:den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Bd</m:t>
                                </m:r>
                              </m:den>
                            </m:f>
                          </m:sup>
                        </m:sSup>
                      </m:num>
                      <m:den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k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l-G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μ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35A8258F-6475-4F98-A06A-B9A3C0D0ACC4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C_d=(1−e^(−2.k.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.</a:t>
              </a:r>
              <a:r>
                <a:rPr lang="es-CO" sz="1100" b="0" i="0">
                  <a:latin typeface="Cambria Math" panose="02040503050406030204" pitchFamily="18" charset="0"/>
                </a:rPr>
                <a:t>.Hc/Bd))/(2 . k .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17</xdr:row>
      <xdr:rowOff>85725</xdr:rowOff>
    </xdr:from>
    <xdr:ext cx="1159420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0000000-0008-0000-1400-00000D000000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k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tan</m:t>
                        </m:r>
                      </m:e>
                      <m:sup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45−</m:t>
                        </m:r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𝜙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A38AF5BE-6045-4BD3-A50F-F49F1C22256D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k=tan^2 (45−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𝜙/2)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5</xdr:col>
      <xdr:colOff>142875</xdr:colOff>
      <xdr:row>20</xdr:row>
      <xdr:rowOff>142875</xdr:rowOff>
    </xdr:from>
    <xdr:ext cx="60721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00000000-0008-0000-1400-00000E000000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l-G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μ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𝑡𝑎𝑛</m:t>
                    </m:r>
                    <m:r>
                      <a:rPr lang="es-CO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𝜙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194829B9-F896-47D7-9EAB-FA310DFA3044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</a:rPr>
                <a:t>=𝑡𝑎𝑛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504825</xdr:colOff>
      <xdr:row>25</xdr:row>
      <xdr:rowOff>85725</xdr:rowOff>
    </xdr:from>
    <xdr:ext cx="1064972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0000000-0008-0000-1400-00000F000000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c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681FBC13-B888-4A83-AD66-440B842201D3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W_d=Cc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Bc^2  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752475</xdr:colOff>
      <xdr:row>30</xdr:row>
      <xdr:rowOff>47625</xdr:rowOff>
    </xdr:from>
    <xdr:ext cx="54726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00000000-0008-0000-1400-000010000000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Bc</m:t>
                        </m:r>
                      </m:den>
                    </m:f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BA9C5EA2-93BC-4155-AE1B-B1A5008807A1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Cc=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Hc/Bc  </a:t>
              </a:r>
              <a:endParaRPr lang="es-CO" sz="1100" b="0" i="0"/>
            </a:p>
          </xdr:txBody>
        </xdr:sp>
      </mc:Fallback>
    </mc:AlternateContent>
    <xdr:clientData/>
  </xdr:oneCellAnchor>
  <xdr:twoCellAnchor editAs="oneCell">
    <xdr:from>
      <xdr:col>4</xdr:col>
      <xdr:colOff>238125</xdr:colOff>
      <xdr:row>179</xdr:row>
      <xdr:rowOff>125942</xdr:rowOff>
    </xdr:from>
    <xdr:to>
      <xdr:col>9</xdr:col>
      <xdr:colOff>537634</xdr:colOff>
      <xdr:row>200</xdr:row>
      <xdr:rowOff>110571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14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4625" y="29796317"/>
          <a:ext cx="4407959" cy="3185029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117443</xdr:colOff>
      <xdr:row>72</xdr:row>
      <xdr:rowOff>27463</xdr:rowOff>
    </xdr:from>
    <xdr:ext cx="1764073" cy="46467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0000000-0008-0000-1500-000002000000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𝑦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𝐵𝑐</m:t>
                        </m:r>
                      </m:den>
                    </m:f>
                    <m:r>
                      <a:rPr lang="es-CO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sub>
                        </m:sSub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𝐾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num>
                      <m:den>
                        <m:f>
                          <m:fPr>
                            <m:ctrlPr>
                              <a:rPr lang="es-CO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8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𝐸𝐼</m:t>
                            </m:r>
                          </m:num>
                          <m:den>
                            <m:sSup>
                              <m:sSupPr>
                                <m:ctrlPr>
                                  <a:rPr lang="es-CO" sz="110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𝐵𝑐</m:t>
                                </m:r>
                              </m:e>
                              <m:sup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p>
                            </m:sSup>
                          </m:den>
                        </m:f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+0.061 .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′</m:t>
                        </m:r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.100%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BFCB4EE-DD15-4C06-9EBE-62D85A2FBB5D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𝑦/</a:t>
              </a:r>
              <a:r>
                <a:rPr lang="es-CO" sz="1100" b="0" i="0">
                  <a:latin typeface="Cambria Math" panose="02040503050406030204" pitchFamily="18" charset="0"/>
                </a:rPr>
                <a:t>𝐵𝑐</a:t>
              </a:r>
              <a:r>
                <a:rPr lang="es-CO" sz="1100" i="0">
                  <a:latin typeface="Cambria Math" panose="02040503050406030204" pitchFamily="18" charset="0"/>
                </a:rPr>
                <a:t>=(</a:t>
              </a:r>
              <a:r>
                <a:rPr lang="es-CO" sz="1100" b="0" i="0">
                  <a:latin typeface="Cambria Math" panose="02040503050406030204" pitchFamily="18" charset="0"/>
                </a:rPr>
                <a:t>𝐷_𝐿  . 𝐾 . 𝑊)/(8𝐸𝐼/〖𝐵𝑐〗^3 +0.061 .𝐸′).100%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171450</xdr:colOff>
      <xdr:row>112</xdr:row>
      <xdr:rowOff>114300</xdr:rowOff>
    </xdr:from>
    <xdr:ext cx="2151166" cy="48891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1500-000003000000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𝐹𝑆</m:t>
                        </m:r>
                      </m:den>
                    </m:f>
                    <m:sSup>
                      <m:sSup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32 . </m:t>
                            </m:r>
                            <m:sSub>
                              <m:sSub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𝑊</m:t>
                                </m:r>
                              </m:sub>
                            </m:s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 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𝐵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f>
                              <m:f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𝐸𝐼</m:t>
                                </m:r>
                              </m:num>
                              <m:den>
                                <m:sSup>
                                  <m:sSupPr>
                                    <m:ctrlP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𝐷</m:t>
                                    </m:r>
                                  </m:e>
                                  <m:sup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3</m:t>
                                    </m:r>
                                  </m:sup>
                                </m:sSup>
                              </m:den>
                            </m:f>
                          </m:e>
                        </m:d>
                      </m:e>
                      <m:sup>
                        <m:f>
                          <m:f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83620E67-95F0-4A96-9916-9F62002A0B4B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b="0" i="0">
                  <a:latin typeface="Cambria Math" panose="02040503050406030204" pitchFamily="18" charset="0"/>
                </a:rPr>
                <a:t>𝑞_𝑎</a:t>
              </a:r>
              <a:r>
                <a:rPr lang="es-CO" sz="1300" i="0">
                  <a:latin typeface="Cambria Math" panose="02040503050406030204" pitchFamily="18" charset="0"/>
                </a:rPr>
                <a:t>=</a:t>
              </a:r>
              <a:r>
                <a:rPr lang="es-CO" sz="1300" b="0" i="0">
                  <a:latin typeface="Cambria Math" panose="02040503050406030204" pitchFamily="18" charset="0"/>
                </a:rPr>
                <a:t>1/𝐹𝑆 (32 . 𝑅_𝑊  . 𝐵^′. 𝐸^′. 𝐸𝐼/𝐷^3 )^(1/2)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47625</xdr:colOff>
      <xdr:row>153</xdr:row>
      <xdr:rowOff>47625</xdr:rowOff>
    </xdr:from>
    <xdr:ext cx="941219" cy="37330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00000000-0008-0000-1500-000004000000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𝐶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𝐴</m:t>
                        </m:r>
                      </m:den>
                    </m:f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EC479DE2-BFBC-470D-8208-B346D9B8E298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𝜎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_𝐶</a:t>
              </a:r>
              <a:r>
                <a:rPr lang="es-CO" sz="1300" i="0">
                  <a:latin typeface="Cambria Math" panose="02040503050406030204" pitchFamily="18" charset="0"/>
                </a:rPr>
                <a:t>=(</a:t>
              </a:r>
              <a:r>
                <a:rPr lang="es-CO" sz="1300" b="0" i="0">
                  <a:latin typeface="Cambria Math" panose="02040503050406030204" pitchFamily="18" charset="0"/>
                </a:rPr>
                <a:t>𝑊_𝑇  . 𝐵_𝐶)/(2 . 𝐴)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19050</xdr:colOff>
      <xdr:row>140</xdr:row>
      <xdr:rowOff>104775</xdr:rowOff>
    </xdr:from>
    <xdr:ext cx="2254014" cy="3732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0000000-0008-0000-1500-000005000000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𝛾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. 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𝑑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𝑉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+mn-ea"/>
                      </a:rPr>
                      <m:t>≤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𝑎𝑑𝑚</m:t>
                        </m:r>
                      </m:sub>
                    </m:sSub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9ED18FEE-5721-4C9E-AB93-5E72CA341EF5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_𝑊. ℎ_𝑊+(𝑅_𝑊.𝑊_𝑑)/𝐷+𝑊_𝑉/𝐷</a:t>
              </a:r>
              <a:r>
                <a:rPr lang="es-CO" sz="1300" b="0" i="0">
                  <a:latin typeface="Cambria Math" panose="02040503050406030204" pitchFamily="18" charset="0"/>
                  <a:ea typeface="+mn-ea"/>
                </a:rPr>
                <a:t>≤𝑞_𝑎𝑑𝑚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371475</xdr:colOff>
      <xdr:row>44</xdr:row>
      <xdr:rowOff>104775</xdr:rowOff>
    </xdr:from>
    <xdr:ext cx="1083053" cy="35041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00000000-0008-0000-1500-000006000000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V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lf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S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sub>
                        </m:sSub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A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LL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504FF2F5-0DAD-4A0C-B6DA-719F4C53E457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W_V=(W . lf . L . S_L)/(L_e  . A_LL 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447675</xdr:colOff>
      <xdr:row>49</xdr:row>
      <xdr:rowOff>9525</xdr:rowOff>
    </xdr:from>
    <xdr:ext cx="24987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0000000-0008-0000-1500-000007000000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A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0.25+1.75.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H</m:t>
                        </m:r>
                      </m:e>
                    </m:d>
                    <m:r>
                      <a:rPr lang="es-CO" sz="1100" b="0" i="0">
                        <a:latin typeface="Cambria Math" panose="02040503050406030204" pitchFamily="18" charset="0"/>
                      </a:rPr>
                      <m:t>∗(0.50+1.75.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820A80F9-C9EE-4897-A2CC-B956B7EBA077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A_LL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(0.25+1.75.H)∗(0.50+1.75.H)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50</xdr:row>
      <xdr:rowOff>66675</xdr:rowOff>
    </xdr:from>
    <xdr:ext cx="10570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0000000-0008-0000-1500-000008000000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0.5+1.75.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C8770E6C-B6FA-41E8-8478-0CDA25B6E694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0.5+1.75.H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600075</xdr:colOff>
      <xdr:row>51</xdr:row>
      <xdr:rowOff>104775</xdr:rowOff>
    </xdr:from>
    <xdr:ext cx="114396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0000000-0008-0000-1500-000009000000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S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0.25+1.75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A4C7A33E-1E94-480C-863C-3739EA21E984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S_L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0.25+1.75H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581025</xdr:colOff>
      <xdr:row>52</xdr:row>
      <xdr:rowOff>114300</xdr:rowOff>
    </xdr:from>
    <xdr:ext cx="1332994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0000000-0008-0000-1500-00000A000000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e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+1.75 . 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3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Bc</m:t>
                            </m:r>
                          </m:num>
                          <m:den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4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8A09917A-0B4B-446B-8350-FECDD4D47881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L_e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L+1.75 . (3Bc/4)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495300</xdr:colOff>
      <xdr:row>10</xdr:row>
      <xdr:rowOff>0</xdr:rowOff>
    </xdr:from>
    <xdr:ext cx="1373838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0000000-0008-0000-1500-00000B000000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d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 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Bd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A3151A9C-C57B-4A25-8BD9-A7C8D6121635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W_d=C_d 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Bd^2  .  </a:t>
              </a:r>
              <a:r>
                <a:rPr lang="es-CO" sz="1100" b="0" i="0">
                  <a:latin typeface="Cambria Math" panose="02040503050406030204" pitchFamily="18" charset="0"/>
                </a:rPr>
                <a:t> Bc/Bd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704850</xdr:colOff>
      <xdr:row>13</xdr:row>
      <xdr:rowOff>133350</xdr:rowOff>
    </xdr:from>
    <xdr:ext cx="1123577" cy="4494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00000000-0008-0000-1500-00000C000000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e>
                          <m:sup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−2.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m:rPr>
                                <m:sty m:val="p"/>
                              </m:rPr>
                              <a:rPr lang="el-G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μ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Hc</m:t>
                                </m:r>
                              </m:num>
                              <m:den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Bd</m:t>
                                </m:r>
                              </m:den>
                            </m:f>
                          </m:sup>
                        </m:sSup>
                      </m:num>
                      <m:den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k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l-G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μ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B02B1F5E-026F-40C8-8B17-B64D5F121A7B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C_d=(1−e^(−2.k.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.</a:t>
              </a:r>
              <a:r>
                <a:rPr lang="es-CO" sz="1100" b="0" i="0">
                  <a:latin typeface="Cambria Math" panose="02040503050406030204" pitchFamily="18" charset="0"/>
                </a:rPr>
                <a:t>.Hc/Bd))/(2 . k .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17</xdr:row>
      <xdr:rowOff>85725</xdr:rowOff>
    </xdr:from>
    <xdr:ext cx="1159420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0000000-0008-0000-1500-00000D000000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k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tan</m:t>
                        </m:r>
                      </m:e>
                      <m:sup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45−</m:t>
                        </m:r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𝜙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7693D35A-E301-49C1-9B47-ED700F62F022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k=tan^2 (45−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𝜙/2)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5</xdr:col>
      <xdr:colOff>142875</xdr:colOff>
      <xdr:row>20</xdr:row>
      <xdr:rowOff>142875</xdr:rowOff>
    </xdr:from>
    <xdr:ext cx="60721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00000000-0008-0000-1500-00000E000000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l-G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μ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𝑡𝑎𝑛</m:t>
                    </m:r>
                    <m:r>
                      <a:rPr lang="es-CO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𝜙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EC6C067D-7023-45F8-94D0-BC3C88D4197A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</a:rPr>
                <a:t>=𝑡𝑎𝑛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504825</xdr:colOff>
      <xdr:row>25</xdr:row>
      <xdr:rowOff>85725</xdr:rowOff>
    </xdr:from>
    <xdr:ext cx="1064972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0000000-0008-0000-1500-00000F000000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c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EB5F9ED3-7E01-4E17-849B-240044EBC1B6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W_d=Cc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Bc^2  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752475</xdr:colOff>
      <xdr:row>30</xdr:row>
      <xdr:rowOff>47625</xdr:rowOff>
    </xdr:from>
    <xdr:ext cx="54726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00000000-0008-0000-1500-000010000000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Bc</m:t>
                        </m:r>
                      </m:den>
                    </m:f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CBB424B1-81D9-4F9B-9A5D-9DAFDA68C73D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Cc=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Hc/Bc  </a:t>
              </a:r>
              <a:endParaRPr lang="es-CO" sz="1100" b="0" i="0"/>
            </a:p>
          </xdr:txBody>
        </xdr:sp>
      </mc:Fallback>
    </mc:AlternateContent>
    <xdr:clientData/>
  </xdr:oneCellAnchor>
  <xdr:twoCellAnchor editAs="oneCell">
    <xdr:from>
      <xdr:col>4</xdr:col>
      <xdr:colOff>238125</xdr:colOff>
      <xdr:row>179</xdr:row>
      <xdr:rowOff>125942</xdr:rowOff>
    </xdr:from>
    <xdr:to>
      <xdr:col>9</xdr:col>
      <xdr:colOff>490009</xdr:colOff>
      <xdr:row>200</xdr:row>
      <xdr:rowOff>110571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15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4625" y="29796317"/>
          <a:ext cx="4407959" cy="3185029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238125</xdr:colOff>
      <xdr:row>22</xdr:row>
      <xdr:rowOff>38100</xdr:rowOff>
    </xdr:from>
    <xdr:to>
      <xdr:col>32</xdr:col>
      <xdr:colOff>246792</xdr:colOff>
      <xdr:row>48</xdr:row>
      <xdr:rowOff>132812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183350" y="3600450"/>
          <a:ext cx="6866667" cy="43047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117443</xdr:colOff>
      <xdr:row>96</xdr:row>
      <xdr:rowOff>27463</xdr:rowOff>
    </xdr:from>
    <xdr:ext cx="1764073" cy="46467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0000000-0008-0000-0700-000002000000}"/>
                </a:ext>
              </a:extLst>
            </xdr:cNvPr>
            <xdr:cNvSpPr txBox="1"/>
          </xdr:nvSpPr>
          <xdr:spPr>
            <a:xfrm>
              <a:off x="3203543" y="23458963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𝑦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𝐵𝑐</m:t>
                        </m:r>
                      </m:den>
                    </m:f>
                    <m:r>
                      <a:rPr lang="es-CO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sub>
                        </m:sSub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𝐾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num>
                      <m:den>
                        <m:f>
                          <m:fPr>
                            <m:ctrlPr>
                              <a:rPr lang="es-CO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8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𝐸𝐼</m:t>
                            </m:r>
                          </m:num>
                          <m:den>
                            <m:sSup>
                              <m:sSupPr>
                                <m:ctrlPr>
                                  <a:rPr lang="es-CO" sz="110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𝐵𝑐</m:t>
                                </m:r>
                              </m:e>
                              <m:sup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p>
                            </m:sSup>
                          </m:den>
                        </m:f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+0.061 .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′</m:t>
                        </m:r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.100%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D1DC3090-F67B-47DC-AA6B-45F88B8FE19D}"/>
                </a:ext>
              </a:extLst>
            </xdr:cNvPr>
            <xdr:cNvSpPr txBox="1"/>
          </xdr:nvSpPr>
          <xdr:spPr>
            <a:xfrm>
              <a:off x="3203543" y="23458963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𝑦/</a:t>
              </a:r>
              <a:r>
                <a:rPr lang="es-CO" sz="1100" b="0" i="0">
                  <a:latin typeface="Cambria Math" panose="02040503050406030204" pitchFamily="18" charset="0"/>
                </a:rPr>
                <a:t>𝐵𝑐</a:t>
              </a:r>
              <a:r>
                <a:rPr lang="es-CO" sz="1100" i="0">
                  <a:latin typeface="Cambria Math" panose="02040503050406030204" pitchFamily="18" charset="0"/>
                </a:rPr>
                <a:t>=(</a:t>
              </a:r>
              <a:r>
                <a:rPr lang="es-CO" sz="1100" b="0" i="0">
                  <a:latin typeface="Cambria Math" panose="02040503050406030204" pitchFamily="18" charset="0"/>
                </a:rPr>
                <a:t>𝐷_𝐿  . 𝐾 . 𝑊)/(8𝐸𝐼/〖𝐵𝑐〗^3 +0.061 .𝐸′).100%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171450</xdr:colOff>
      <xdr:row>147</xdr:row>
      <xdr:rowOff>114300</xdr:rowOff>
    </xdr:from>
    <xdr:ext cx="2151166" cy="48891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0000000-0008-0000-0700-000005000000}"/>
                </a:ext>
              </a:extLst>
            </xdr:cNvPr>
            <xdr:cNvSpPr txBox="1"/>
          </xdr:nvSpPr>
          <xdr:spPr>
            <a:xfrm>
              <a:off x="3419475" y="188595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𝐹𝑆</m:t>
                        </m:r>
                      </m:den>
                    </m:f>
                    <m:sSup>
                      <m:sSup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32 . </m:t>
                            </m:r>
                            <m:sSub>
                              <m:sSub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𝑊</m:t>
                                </m:r>
                              </m:sub>
                            </m:s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 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𝐵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f>
                              <m:f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𝐸𝐼</m:t>
                                </m:r>
                              </m:num>
                              <m:den>
                                <m:sSup>
                                  <m:sSupPr>
                                    <m:ctrlP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𝐷</m:t>
                                    </m:r>
                                  </m:e>
                                  <m:sup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3</m:t>
                                    </m:r>
                                  </m:sup>
                                </m:sSup>
                              </m:den>
                            </m:f>
                          </m:e>
                        </m:d>
                      </m:e>
                      <m:sup>
                        <m:f>
                          <m:f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24E521BC-B91F-4911-80A6-5789CBAD9BF1}"/>
                </a:ext>
              </a:extLst>
            </xdr:cNvPr>
            <xdr:cNvSpPr txBox="1"/>
          </xdr:nvSpPr>
          <xdr:spPr>
            <a:xfrm>
              <a:off x="3419475" y="188595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b="0" i="0">
                  <a:latin typeface="Cambria Math" panose="02040503050406030204" pitchFamily="18" charset="0"/>
                </a:rPr>
                <a:t>𝑞_𝑎</a:t>
              </a:r>
              <a:r>
                <a:rPr lang="es-CO" sz="1300" i="0">
                  <a:latin typeface="Cambria Math" panose="02040503050406030204" pitchFamily="18" charset="0"/>
                </a:rPr>
                <a:t>=</a:t>
              </a:r>
              <a:r>
                <a:rPr lang="es-CO" sz="1300" b="0" i="0">
                  <a:latin typeface="Cambria Math" panose="02040503050406030204" pitchFamily="18" charset="0"/>
                </a:rPr>
                <a:t>1/𝐹𝑆 (32 . 𝑅_𝑊  . 𝐵^′. 𝐸^′. 𝐸𝐼/𝐷^3 )^(1/2)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47625</xdr:colOff>
      <xdr:row>210</xdr:row>
      <xdr:rowOff>47625</xdr:rowOff>
    </xdr:from>
    <xdr:ext cx="941219" cy="37330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0000000-0008-0000-0700-000007000000}"/>
                </a:ext>
              </a:extLst>
            </xdr:cNvPr>
            <xdr:cNvSpPr txBox="1"/>
          </xdr:nvSpPr>
          <xdr:spPr>
            <a:xfrm>
              <a:off x="3295650" y="2525077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𝐶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𝐴</m:t>
                        </m:r>
                      </m:den>
                    </m:f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4A839128-DEB9-4E08-8AA1-69F64CC0B5B1}"/>
                </a:ext>
              </a:extLst>
            </xdr:cNvPr>
            <xdr:cNvSpPr txBox="1"/>
          </xdr:nvSpPr>
          <xdr:spPr>
            <a:xfrm>
              <a:off x="3295650" y="2525077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𝜎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_𝐶</a:t>
              </a:r>
              <a:r>
                <a:rPr lang="es-CO" sz="1300" i="0">
                  <a:latin typeface="Cambria Math" panose="02040503050406030204" pitchFamily="18" charset="0"/>
                </a:rPr>
                <a:t>=(</a:t>
              </a:r>
              <a:r>
                <a:rPr lang="es-CO" sz="1300" b="0" i="0">
                  <a:latin typeface="Cambria Math" panose="02040503050406030204" pitchFamily="18" charset="0"/>
                </a:rPr>
                <a:t>𝑊_𝑇  . 𝐵_𝐶)/(2 . 𝐴)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19050</xdr:colOff>
      <xdr:row>186</xdr:row>
      <xdr:rowOff>104775</xdr:rowOff>
    </xdr:from>
    <xdr:ext cx="2254014" cy="3732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0000000-0008-0000-0700-000008000000}"/>
                </a:ext>
              </a:extLst>
            </xdr:cNvPr>
            <xdr:cNvSpPr txBox="1"/>
          </xdr:nvSpPr>
          <xdr:spPr>
            <a:xfrm>
              <a:off x="3267075" y="2390775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𝛾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. 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𝑑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𝑉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+mn-ea"/>
                      </a:rPr>
                      <m:t>≤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𝑎𝑑𝑚</m:t>
                        </m:r>
                      </m:sub>
                    </m:sSub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E3FE0CA4-17D7-4B65-AD50-B70BA546B6EB}"/>
                </a:ext>
              </a:extLst>
            </xdr:cNvPr>
            <xdr:cNvSpPr txBox="1"/>
          </xdr:nvSpPr>
          <xdr:spPr>
            <a:xfrm>
              <a:off x="3267075" y="2390775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_𝑊. ℎ_𝑊+(𝑅_𝑊.𝑊_𝑑)/𝐷+𝑊_𝑉/𝐷</a:t>
              </a:r>
              <a:r>
                <a:rPr lang="es-CO" sz="1300" b="0" i="0">
                  <a:latin typeface="Cambria Math" panose="02040503050406030204" pitchFamily="18" charset="0"/>
                  <a:ea typeface="+mn-ea"/>
                </a:rPr>
                <a:t>≤𝑞_𝑎𝑑𝑚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371475</xdr:colOff>
      <xdr:row>57</xdr:row>
      <xdr:rowOff>104775</xdr:rowOff>
    </xdr:from>
    <xdr:ext cx="1083053" cy="35041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0000000-0008-0000-0700-000009000000}"/>
                </a:ext>
              </a:extLst>
            </xdr:cNvPr>
            <xdr:cNvSpPr txBox="1"/>
          </xdr:nvSpPr>
          <xdr:spPr>
            <a:xfrm>
              <a:off x="3657600" y="677227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V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lf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S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sub>
                        </m:sSub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A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LL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FF9B2882-FCD5-4FBC-8468-844CF144D988}"/>
                </a:ext>
              </a:extLst>
            </xdr:cNvPr>
            <xdr:cNvSpPr txBox="1"/>
          </xdr:nvSpPr>
          <xdr:spPr>
            <a:xfrm>
              <a:off x="3657600" y="677227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W_V=(W . lf . L . S_L)/(L_e  . A_LL 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447675</xdr:colOff>
      <xdr:row>62</xdr:row>
      <xdr:rowOff>9525</xdr:rowOff>
    </xdr:from>
    <xdr:ext cx="24987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0000000-0008-0000-0700-00000A000000}"/>
                </a:ext>
              </a:extLst>
            </xdr:cNvPr>
            <xdr:cNvSpPr txBox="1"/>
          </xdr:nvSpPr>
          <xdr:spPr>
            <a:xfrm>
              <a:off x="2924175" y="914400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A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0.25+1.75.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H</m:t>
                        </m:r>
                      </m:e>
                    </m:d>
                    <m:r>
                      <a:rPr lang="es-CO" sz="1100" b="0" i="0">
                        <a:latin typeface="Cambria Math" panose="02040503050406030204" pitchFamily="18" charset="0"/>
                      </a:rPr>
                      <m:t>∗(0.50+1.75.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0000000-0008-0000-0700-00000A000000}"/>
                </a:ext>
              </a:extLst>
            </xdr:cNvPr>
            <xdr:cNvSpPr txBox="1"/>
          </xdr:nvSpPr>
          <xdr:spPr>
            <a:xfrm>
              <a:off x="2924175" y="914400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A_LL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(0.25+1.75.H)∗(0.50+1.75.H)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63</xdr:row>
      <xdr:rowOff>66675</xdr:rowOff>
    </xdr:from>
    <xdr:ext cx="10570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0000000-0008-0000-0700-00000B000000}"/>
                </a:ext>
              </a:extLst>
            </xdr:cNvPr>
            <xdr:cNvSpPr txBox="1"/>
          </xdr:nvSpPr>
          <xdr:spPr>
            <a:xfrm>
              <a:off x="3124200" y="777240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0.5+1.75.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9E78EA3D-D25F-4694-9736-38EEB1A4AA94}"/>
                </a:ext>
              </a:extLst>
            </xdr:cNvPr>
            <xdr:cNvSpPr txBox="1"/>
          </xdr:nvSpPr>
          <xdr:spPr>
            <a:xfrm>
              <a:off x="3124200" y="777240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0.5+1.75.H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600075</xdr:colOff>
      <xdr:row>64</xdr:row>
      <xdr:rowOff>104775</xdr:rowOff>
    </xdr:from>
    <xdr:ext cx="114396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00000000-0008-0000-0700-00000C000000}"/>
                </a:ext>
              </a:extLst>
            </xdr:cNvPr>
            <xdr:cNvSpPr txBox="1"/>
          </xdr:nvSpPr>
          <xdr:spPr>
            <a:xfrm>
              <a:off x="3076575" y="968692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S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0.25+1.75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00000000-0008-0000-0700-00000C000000}"/>
                </a:ext>
              </a:extLst>
            </xdr:cNvPr>
            <xdr:cNvSpPr txBox="1"/>
          </xdr:nvSpPr>
          <xdr:spPr>
            <a:xfrm>
              <a:off x="3076575" y="968692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S_L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0.25+1.75H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581025</xdr:colOff>
      <xdr:row>65</xdr:row>
      <xdr:rowOff>114300</xdr:rowOff>
    </xdr:from>
    <xdr:ext cx="1332994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0000000-0008-0000-0700-00000D000000}"/>
                </a:ext>
              </a:extLst>
            </xdr:cNvPr>
            <xdr:cNvSpPr txBox="1"/>
          </xdr:nvSpPr>
          <xdr:spPr>
            <a:xfrm>
              <a:off x="3057525" y="829627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e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+1.75 . 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3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Bc</m:t>
                            </m:r>
                          </m:num>
                          <m:den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4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6BE0A957-64E5-4F39-9707-6E5483163487}"/>
                </a:ext>
              </a:extLst>
            </xdr:cNvPr>
            <xdr:cNvSpPr txBox="1"/>
          </xdr:nvSpPr>
          <xdr:spPr>
            <a:xfrm>
              <a:off x="3057525" y="829627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L_e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L+1.75 . (3Bc/4)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495300</xdr:colOff>
      <xdr:row>11</xdr:row>
      <xdr:rowOff>0</xdr:rowOff>
    </xdr:from>
    <xdr:ext cx="1373838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00000000-0008-0000-0700-00000E000000}"/>
                </a:ext>
              </a:extLst>
            </xdr:cNvPr>
            <xdr:cNvSpPr txBox="1"/>
          </xdr:nvSpPr>
          <xdr:spPr>
            <a:xfrm>
              <a:off x="2971800" y="1552575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d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 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Bd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DF739CA6-99EC-4D3B-AA7E-AC10C1DEE6B9}"/>
                </a:ext>
              </a:extLst>
            </xdr:cNvPr>
            <xdr:cNvSpPr txBox="1"/>
          </xdr:nvSpPr>
          <xdr:spPr>
            <a:xfrm>
              <a:off x="2971800" y="1552575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W_d=C_d 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Bd^2  .  </a:t>
              </a:r>
              <a:r>
                <a:rPr lang="es-CO" sz="1100" b="0" i="0">
                  <a:latin typeface="Cambria Math" panose="02040503050406030204" pitchFamily="18" charset="0"/>
                </a:rPr>
                <a:t> Bc/Bd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704850</xdr:colOff>
      <xdr:row>14</xdr:row>
      <xdr:rowOff>133350</xdr:rowOff>
    </xdr:from>
    <xdr:ext cx="1123577" cy="4494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0000000-0008-0000-0700-00000F000000}"/>
                </a:ext>
              </a:extLst>
            </xdr:cNvPr>
            <xdr:cNvSpPr txBox="1"/>
          </xdr:nvSpPr>
          <xdr:spPr>
            <a:xfrm>
              <a:off x="3181350" y="2162175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e>
                          <m:sup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−2.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m:rPr>
                                <m:sty m:val="p"/>
                              </m:rPr>
                              <a:rPr lang="el-G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μ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Hc</m:t>
                                </m:r>
                              </m:num>
                              <m:den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Bd</m:t>
                                </m:r>
                              </m:den>
                            </m:f>
                          </m:sup>
                        </m:sSup>
                      </m:num>
                      <m:den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k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l-G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μ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4EBEB09-AFF0-4E5E-8C9C-A5630E7E7F37}"/>
                </a:ext>
              </a:extLst>
            </xdr:cNvPr>
            <xdr:cNvSpPr txBox="1"/>
          </xdr:nvSpPr>
          <xdr:spPr>
            <a:xfrm>
              <a:off x="3181350" y="2162175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C_d=(1−e^(-2.k.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.</a:t>
              </a:r>
              <a:r>
                <a:rPr lang="es-CO" sz="1100" b="0" i="0">
                  <a:latin typeface="Cambria Math" panose="02040503050406030204" pitchFamily="18" charset="0"/>
                </a:rPr>
                <a:t>.Hc/Bd))/(2 . k .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18</xdr:row>
      <xdr:rowOff>85725</xdr:rowOff>
    </xdr:from>
    <xdr:ext cx="1159420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00000000-0008-0000-0700-000010000000}"/>
                </a:ext>
              </a:extLst>
            </xdr:cNvPr>
            <xdr:cNvSpPr txBox="1"/>
          </xdr:nvSpPr>
          <xdr:spPr>
            <a:xfrm>
              <a:off x="3124200" y="2724150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k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tan</m:t>
                        </m:r>
                      </m:e>
                      <m:sup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45−</m:t>
                        </m:r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𝜙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289E7951-0B88-462A-B4CD-4B0EF287AD8A}"/>
                </a:ext>
              </a:extLst>
            </xdr:cNvPr>
            <xdr:cNvSpPr txBox="1"/>
          </xdr:nvSpPr>
          <xdr:spPr>
            <a:xfrm>
              <a:off x="3124200" y="2724150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k=tan^2 (45−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𝜙/2)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5</xdr:col>
      <xdr:colOff>142875</xdr:colOff>
      <xdr:row>21</xdr:row>
      <xdr:rowOff>142875</xdr:rowOff>
    </xdr:from>
    <xdr:ext cx="60721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00000000-0008-0000-0700-000011000000}"/>
                </a:ext>
              </a:extLst>
            </xdr:cNvPr>
            <xdr:cNvSpPr txBox="1"/>
          </xdr:nvSpPr>
          <xdr:spPr>
            <a:xfrm>
              <a:off x="3429000" y="3238500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l-G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μ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𝑡𝑎𝑛</m:t>
                    </m:r>
                    <m:r>
                      <a:rPr lang="es-CO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𝜙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6260D243-F320-41D5-8D02-854ABD026BBE}"/>
                </a:ext>
              </a:extLst>
            </xdr:cNvPr>
            <xdr:cNvSpPr txBox="1"/>
          </xdr:nvSpPr>
          <xdr:spPr>
            <a:xfrm>
              <a:off x="3429000" y="3238500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</a:rPr>
                <a:t>=𝑡𝑎𝑛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504825</xdr:colOff>
      <xdr:row>26</xdr:row>
      <xdr:rowOff>85725</xdr:rowOff>
    </xdr:from>
    <xdr:ext cx="1064972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CuadroTexto 17">
              <a:extLst>
                <a:ext uri="{FF2B5EF4-FFF2-40B4-BE49-F238E27FC236}">
                  <a16:creationId xmlns:a16="http://schemas.microsoft.com/office/drawing/2014/main" id="{00000000-0008-0000-0700-000012000000}"/>
                </a:ext>
              </a:extLst>
            </xdr:cNvPr>
            <xdr:cNvSpPr txBox="1"/>
          </xdr:nvSpPr>
          <xdr:spPr>
            <a:xfrm>
              <a:off x="2981325" y="3886200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c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8" name="CuadroTexto 17">
              <a:extLst>
                <a:ext uri="{FF2B5EF4-FFF2-40B4-BE49-F238E27FC236}">
                  <a16:creationId xmlns:a16="http://schemas.microsoft.com/office/drawing/2014/main" id="{C8B8F140-ED36-4F7B-AD1C-B7D3D9A0FD06}"/>
                </a:ext>
              </a:extLst>
            </xdr:cNvPr>
            <xdr:cNvSpPr txBox="1"/>
          </xdr:nvSpPr>
          <xdr:spPr>
            <a:xfrm>
              <a:off x="2981325" y="3886200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W_d=Cc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Bc^2  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752475</xdr:colOff>
      <xdr:row>31</xdr:row>
      <xdr:rowOff>47625</xdr:rowOff>
    </xdr:from>
    <xdr:ext cx="54726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CuadroTexto 18">
              <a:extLst>
                <a:ext uri="{FF2B5EF4-FFF2-40B4-BE49-F238E27FC236}">
                  <a16:creationId xmlns:a16="http://schemas.microsoft.com/office/drawing/2014/main" id="{00000000-0008-0000-0700-000013000000}"/>
                </a:ext>
              </a:extLst>
            </xdr:cNvPr>
            <xdr:cNvSpPr txBox="1"/>
          </xdr:nvSpPr>
          <xdr:spPr>
            <a:xfrm>
              <a:off x="3228975" y="4610100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Bc</m:t>
                        </m:r>
                      </m:den>
                    </m:f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9" name="CuadroTexto 18">
              <a:extLst>
                <a:ext uri="{FF2B5EF4-FFF2-40B4-BE49-F238E27FC236}">
                  <a16:creationId xmlns:a16="http://schemas.microsoft.com/office/drawing/2014/main" id="{4218E7FE-0B94-4A38-A4FF-F8BC7B9A134B}"/>
                </a:ext>
              </a:extLst>
            </xdr:cNvPr>
            <xdr:cNvSpPr txBox="1"/>
          </xdr:nvSpPr>
          <xdr:spPr>
            <a:xfrm>
              <a:off x="3228975" y="4610100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Cc=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Hc/Bc  </a:t>
              </a:r>
              <a:endParaRPr lang="es-CO" sz="1100" b="0" i="0"/>
            </a:p>
          </xdr:txBody>
        </xdr:sp>
      </mc:Fallback>
    </mc:AlternateContent>
    <xdr:clientData/>
  </xdr:oneCellAnchor>
  <xdr:twoCellAnchor editAs="oneCell">
    <xdr:from>
      <xdr:col>3</xdr:col>
      <xdr:colOff>486833</xdr:colOff>
      <xdr:row>259</xdr:row>
      <xdr:rowOff>21167</xdr:rowOff>
    </xdr:from>
    <xdr:to>
      <xdr:col>9</xdr:col>
      <xdr:colOff>146050</xdr:colOff>
      <xdr:row>281</xdr:row>
      <xdr:rowOff>7485</xdr:rowOff>
    </xdr:to>
    <xdr:pic>
      <xdr:nvPicPr>
        <xdr:cNvPr id="29" name="Imagen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49500" y="41148000"/>
          <a:ext cx="4495800" cy="32459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41</xdr:row>
      <xdr:rowOff>28575</xdr:rowOff>
    </xdr:from>
    <xdr:to>
      <xdr:col>3</xdr:col>
      <xdr:colOff>0</xdr:colOff>
      <xdr:row>46</xdr:row>
      <xdr:rowOff>0</xdr:rowOff>
    </xdr:to>
    <xdr:grpSp>
      <xdr:nvGrpSpPr>
        <xdr:cNvPr id="2" name="22 Grup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pSpPr>
          <a:grpSpLocks/>
        </xdr:cNvGrpSpPr>
      </xdr:nvGrpSpPr>
      <xdr:grpSpPr bwMode="auto">
        <a:xfrm>
          <a:off x="885825" y="6391275"/>
          <a:ext cx="1962150" cy="733425"/>
          <a:chOff x="885825" y="25805606"/>
          <a:chExt cx="1793081" cy="804863"/>
        </a:xfrm>
      </xdr:grpSpPr>
      <xdr:sp macro="" textlink="">
        <xdr:nvSpPr>
          <xdr:cNvPr id="3" name="Line 13">
            <a:extLst>
              <a:ext uri="{FF2B5EF4-FFF2-40B4-BE49-F238E27FC236}">
                <a16:creationId xmlns:a16="http://schemas.microsoft.com/office/drawing/2014/main" id="{00000000-0008-0000-0800-000003000000}"/>
              </a:ext>
            </a:extLst>
          </xdr:cNvPr>
          <xdr:cNvSpPr>
            <a:spLocks noChangeShapeType="1"/>
          </xdr:cNvSpPr>
        </xdr:nvSpPr>
        <xdr:spPr bwMode="auto">
          <a:xfrm>
            <a:off x="885825" y="25805606"/>
            <a:ext cx="0" cy="80486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arrow" w="sm" len="med"/>
            <a:tailEnd type="arrow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" name="Line 14">
            <a:extLst>
              <a:ext uri="{FF2B5EF4-FFF2-40B4-BE49-F238E27FC236}">
                <a16:creationId xmlns:a16="http://schemas.microsoft.com/office/drawing/2014/main" id="{00000000-0008-0000-0800-000004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1774031" y="26048494"/>
            <a:ext cx="90487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arrow" w="sm" len="med"/>
            <a:tailEnd type="arrow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 editAs="absolute">
    <xdr:from>
      <xdr:col>1</xdr:col>
      <xdr:colOff>529590</xdr:colOff>
      <xdr:row>260</xdr:row>
      <xdr:rowOff>140970</xdr:rowOff>
    </xdr:from>
    <xdr:to>
      <xdr:col>4</xdr:col>
      <xdr:colOff>99060</xdr:colOff>
      <xdr:row>273</xdr:row>
      <xdr:rowOff>26670</xdr:rowOff>
    </xdr:to>
    <xdr:grpSp>
      <xdr:nvGrpSpPr>
        <xdr:cNvPr id="21" name="74 Grupo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GrpSpPr>
          <a:grpSpLocks/>
        </xdr:cNvGrpSpPr>
      </xdr:nvGrpSpPr>
      <xdr:grpSpPr bwMode="auto">
        <a:xfrm>
          <a:off x="1291590" y="39879270"/>
          <a:ext cx="2417445" cy="1866900"/>
          <a:chOff x="1343025" y="30391894"/>
          <a:chExt cx="2431256" cy="1924050"/>
        </a:xfrm>
      </xdr:grpSpPr>
      <xdr:sp macro="" textlink="">
        <xdr:nvSpPr>
          <xdr:cNvPr id="22" name="Line 38">
            <a:extLst>
              <a:ext uri="{FF2B5EF4-FFF2-40B4-BE49-F238E27FC236}">
                <a16:creationId xmlns:a16="http://schemas.microsoft.com/office/drawing/2014/main" id="{00000000-0008-0000-0800-000016000000}"/>
              </a:ext>
            </a:extLst>
          </xdr:cNvPr>
          <xdr:cNvSpPr>
            <a:spLocks noChangeShapeType="1"/>
          </xdr:cNvSpPr>
        </xdr:nvSpPr>
        <xdr:spPr bwMode="auto">
          <a:xfrm>
            <a:off x="2602706" y="30420469"/>
            <a:ext cx="0" cy="189547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3" name="73 Grupo">
            <a:extLst>
              <a:ext uri="{FF2B5EF4-FFF2-40B4-BE49-F238E27FC236}">
                <a16:creationId xmlns:a16="http://schemas.microsoft.com/office/drawing/2014/main" id="{00000000-0008-0000-0800-000017000000}"/>
              </a:ext>
            </a:extLst>
          </xdr:cNvPr>
          <xdr:cNvGrpSpPr>
            <a:grpSpLocks/>
          </xdr:cNvGrpSpPr>
        </xdr:nvGrpSpPr>
        <xdr:grpSpPr bwMode="auto">
          <a:xfrm>
            <a:off x="1343025" y="30391894"/>
            <a:ext cx="2431256" cy="1924050"/>
            <a:chOff x="1343025" y="30391894"/>
            <a:chExt cx="2431256" cy="1924050"/>
          </a:xfrm>
        </xdr:grpSpPr>
        <xdr:sp macro="" textlink="">
          <xdr:nvSpPr>
            <xdr:cNvPr id="24" name="Rectangle 30">
              <a:extLst>
                <a:ext uri="{FF2B5EF4-FFF2-40B4-BE49-F238E27FC236}">
                  <a16:creationId xmlns:a16="http://schemas.microsoft.com/office/drawing/2014/main" id="{00000000-0008-0000-0800-000018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2250281" y="30420469"/>
              <a:ext cx="257175" cy="1895475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25" name="Line 31">
              <a:extLst>
                <a:ext uri="{FF2B5EF4-FFF2-40B4-BE49-F238E27FC236}">
                  <a16:creationId xmlns:a16="http://schemas.microsoft.com/office/drawing/2014/main" id="{00000000-0008-0000-0800-000019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504950" y="30787181"/>
              <a:ext cx="7548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6" name="Text Box 32">
              <a:extLst>
                <a:ext uri="{FF2B5EF4-FFF2-40B4-BE49-F238E27FC236}">
                  <a16:creationId xmlns:a16="http://schemas.microsoft.com/office/drawing/2014/main" id="{00000000-0008-0000-0800-00001A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343025" y="30714197"/>
              <a:ext cx="228824" cy="117201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0" tIns="0" rIns="0" bIns="0" anchor="t" upright="1"/>
            <a:lstStyle/>
            <a:p>
              <a:pPr algn="l" rtl="0">
                <a:defRPr sz="1000"/>
              </a:pPr>
              <a:r>
                <a:rPr lang="es-CO" sz="9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A</a:t>
              </a:r>
            </a:p>
          </xdr:txBody>
        </xdr:sp>
        <xdr:grpSp>
          <xdr:nvGrpSpPr>
            <xdr:cNvPr id="27" name="Group 33">
              <a:extLst>
                <a:ext uri="{FF2B5EF4-FFF2-40B4-BE49-F238E27FC236}">
                  <a16:creationId xmlns:a16="http://schemas.microsoft.com/office/drawing/2014/main" id="{00000000-0008-0000-0800-00001B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107531" y="30391894"/>
              <a:ext cx="666750" cy="1924050"/>
              <a:chOff x="4941" y="4608"/>
              <a:chExt cx="840" cy="2520"/>
            </a:xfrm>
          </xdr:grpSpPr>
          <xdr:sp macro="" textlink="">
            <xdr:nvSpPr>
              <xdr:cNvPr id="35" name="Line 34">
                <a:extLst>
                  <a:ext uri="{FF2B5EF4-FFF2-40B4-BE49-F238E27FC236}">
                    <a16:creationId xmlns:a16="http://schemas.microsoft.com/office/drawing/2014/main" id="{00000000-0008-0000-0800-000023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4941" y="4608"/>
                <a:ext cx="0" cy="252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36" name="Line 35">
                <a:extLst>
                  <a:ext uri="{FF2B5EF4-FFF2-40B4-BE49-F238E27FC236}">
                    <a16:creationId xmlns:a16="http://schemas.microsoft.com/office/drawing/2014/main" id="{00000000-0008-0000-0800-000024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4941" y="4608"/>
                <a:ext cx="840" cy="72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37" name="Line 36">
                <a:extLst>
                  <a:ext uri="{FF2B5EF4-FFF2-40B4-BE49-F238E27FC236}">
                    <a16:creationId xmlns:a16="http://schemas.microsoft.com/office/drawing/2014/main" id="{00000000-0008-0000-0800-000025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4941" y="7128"/>
                <a:ext cx="840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38" name="Line 37">
                <a:extLst>
                  <a:ext uri="{FF2B5EF4-FFF2-40B4-BE49-F238E27FC236}">
                    <a16:creationId xmlns:a16="http://schemas.microsoft.com/office/drawing/2014/main" id="{00000000-0008-0000-0800-000026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5781" y="5328"/>
                <a:ext cx="0" cy="180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28" name="Line 39">
              <a:extLst>
                <a:ext uri="{FF2B5EF4-FFF2-40B4-BE49-F238E27FC236}">
                  <a16:creationId xmlns:a16="http://schemas.microsoft.com/office/drawing/2014/main" id="{00000000-0008-0000-0800-00001C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564606" y="30930056"/>
              <a:ext cx="7620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" name="Line 40">
              <a:extLst>
                <a:ext uri="{FF2B5EF4-FFF2-40B4-BE49-F238E27FC236}">
                  <a16:creationId xmlns:a16="http://schemas.microsoft.com/office/drawing/2014/main" id="{00000000-0008-0000-0800-00001D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564606" y="32315944"/>
              <a:ext cx="7620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30" name="Line 41">
              <a:extLst>
                <a:ext uri="{FF2B5EF4-FFF2-40B4-BE49-F238E27FC236}">
                  <a16:creationId xmlns:a16="http://schemas.microsoft.com/office/drawing/2014/main" id="{00000000-0008-0000-0800-00001E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564606" y="30420469"/>
              <a:ext cx="7620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31" name="Line 42">
              <a:extLst>
                <a:ext uri="{FF2B5EF4-FFF2-40B4-BE49-F238E27FC236}">
                  <a16:creationId xmlns:a16="http://schemas.microsoft.com/office/drawing/2014/main" id="{00000000-0008-0000-0800-00001F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495425" y="31349156"/>
              <a:ext cx="7548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32" name="Text Box 43">
              <a:extLst>
                <a:ext uri="{FF2B5EF4-FFF2-40B4-BE49-F238E27FC236}">
                  <a16:creationId xmlns:a16="http://schemas.microsoft.com/office/drawing/2014/main" id="{00000000-0008-0000-0800-000020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362094" y="31241601"/>
              <a:ext cx="228824" cy="15626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0" tIns="0" rIns="0" bIns="0" anchor="t" upright="1"/>
            <a:lstStyle/>
            <a:p>
              <a:pPr algn="l" rtl="0">
                <a:defRPr sz="1000"/>
              </a:pPr>
              <a:r>
                <a:rPr lang="es-CO" sz="9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</a:t>
              </a:r>
            </a:p>
          </xdr:txBody>
        </xdr:sp>
        <xdr:sp macro="" textlink="">
          <xdr:nvSpPr>
            <xdr:cNvPr id="33" name="Line 42">
              <a:extLst>
                <a:ext uri="{FF2B5EF4-FFF2-40B4-BE49-F238E27FC236}">
                  <a16:creationId xmlns:a16="http://schemas.microsoft.com/office/drawing/2014/main" id="{00000000-0008-0000-0800-000021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495425" y="31942087"/>
              <a:ext cx="7548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34" name="Text Box 43">
              <a:extLst>
                <a:ext uri="{FF2B5EF4-FFF2-40B4-BE49-F238E27FC236}">
                  <a16:creationId xmlns:a16="http://schemas.microsoft.com/office/drawing/2014/main" id="{00000000-0008-0000-0800-000022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362094" y="31847140"/>
              <a:ext cx="228824" cy="146501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0" tIns="0" rIns="0" bIns="0" anchor="t" upright="1"/>
            <a:lstStyle/>
            <a:p>
              <a:pPr algn="l" rtl="0">
                <a:defRPr sz="1000"/>
              </a:pPr>
              <a:r>
                <a:rPr lang="es-CO" sz="9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</a:t>
              </a:r>
            </a:p>
          </xdr:txBody>
        </xdr:sp>
      </xdr:grpSp>
    </xdr:grpSp>
    <xdr:clientData/>
  </xdr:twoCellAnchor>
  <xdr:oneCellAnchor>
    <xdr:from>
      <xdr:col>1</xdr:col>
      <xdr:colOff>304800</xdr:colOff>
      <xdr:row>10</xdr:row>
      <xdr:rowOff>123825</xdr:rowOff>
    </xdr:from>
    <xdr:ext cx="3248025" cy="4250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6" name="2 CuadroTexto">
              <a:extLst>
                <a:ext uri="{FF2B5EF4-FFF2-40B4-BE49-F238E27FC236}">
                  <a16:creationId xmlns:a16="http://schemas.microsoft.com/office/drawing/2014/main" id="{00000000-0008-0000-0800-000038000000}"/>
                </a:ext>
              </a:extLst>
            </xdr:cNvPr>
            <xdr:cNvSpPr txBox="1"/>
          </xdr:nvSpPr>
          <xdr:spPr>
            <a:xfrm>
              <a:off x="1066800" y="1600200"/>
              <a:ext cx="3248025" cy="425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𝑞</m:t>
                        </m:r>
                      </m:e>
                      <m:sub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𝑎𝑑𝑚</m:t>
                        </m:r>
                      </m:sub>
                    </m:sSub>
                    <m:r>
                      <m:rPr>
                        <m:nor/>
                      </m:rPr>
                      <a:rPr lang="es-CO" sz="1100" b="0" i="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C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.</m:t>
                        </m:r>
                        <m:sSub>
                          <m:sSubPr>
                            <m:ctrlP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m:rPr>
                                <m:nor/>
                              </m:rPr>
                              <a:rPr lang="es-CO" sz="1100" b="0" i="0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𝑁</m:t>
                            </m:r>
                          </m:e>
                          <m:sub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</m:t>
                            </m:r>
                          </m:sub>
                        </m:sSub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+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𝑞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∙</m:t>
                        </m:r>
                        <m:sSub>
                          <m:sSubPr>
                            <m:ctrlP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m:rPr>
                                <m:nor/>
                              </m:rPr>
                              <a:rPr lang="es-CO" sz="1100" b="0" i="0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𝑁</m:t>
                            </m:r>
                          </m:e>
                          <m:sub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𝑞</m:t>
                            </m:r>
                          </m:sub>
                        </m:sSub>
                      </m:num>
                      <m:den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𝐹𝑆</m:t>
                        </m:r>
                      </m:den>
                    </m:f>
                  </m:oMath>
                </m:oMathPara>
              </a14:m>
              <a:endParaRPr lang="es-CO">
                <a:effectLst/>
              </a:endParaRPr>
            </a:p>
          </xdr:txBody>
        </xdr:sp>
      </mc:Choice>
      <mc:Fallback xmlns="">
        <xdr:sp macro="" textlink="">
          <xdr:nvSpPr>
            <xdr:cNvPr id="56" name="2 CuadroTexto">
              <a:extLst>
                <a:ext uri="{FF2B5EF4-FFF2-40B4-BE49-F238E27FC236}">
                  <a16:creationId xmlns:a16="http://schemas.microsoft.com/office/drawing/2014/main" id="{CC8AE191-8DE0-4FF8-A7F4-9B2CFC9BEA7E}"/>
                </a:ext>
              </a:extLst>
            </xdr:cNvPr>
            <xdr:cNvSpPr txBox="1"/>
          </xdr:nvSpPr>
          <xdr:spPr>
            <a:xfrm>
              <a:off x="1066800" y="1600200"/>
              <a:ext cx="3248025" cy="425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CO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𝑞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_𝑎𝑑𝑚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"= "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"C.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"𝑁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_𝑐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"+𝑞∙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"𝑁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_𝑞)/𝐹𝑆</a:t>
              </a:r>
              <a:endParaRPr lang="es-CO">
                <a:effectLst/>
              </a:endParaRPr>
            </a:p>
          </xdr:txBody>
        </xdr:sp>
      </mc:Fallback>
    </mc:AlternateContent>
    <xdr:clientData/>
  </xdr:oneCellAnchor>
  <xdr:oneCellAnchor>
    <xdr:from>
      <xdr:col>11</xdr:col>
      <xdr:colOff>200025</xdr:colOff>
      <xdr:row>12</xdr:row>
      <xdr:rowOff>47625</xdr:rowOff>
    </xdr:from>
    <xdr:ext cx="2295525" cy="4221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7" name="9 CuadroTexto">
              <a:extLst>
                <a:ext uri="{FF2B5EF4-FFF2-40B4-BE49-F238E27FC236}">
                  <a16:creationId xmlns:a16="http://schemas.microsoft.com/office/drawing/2014/main" id="{00000000-0008-0000-0800-000039000000}"/>
                </a:ext>
              </a:extLst>
            </xdr:cNvPr>
            <xdr:cNvSpPr txBox="1"/>
          </xdr:nvSpPr>
          <xdr:spPr>
            <a:xfrm>
              <a:off x="9239250" y="1828800"/>
              <a:ext cx="2295525" cy="4221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𝑁</m:t>
                        </m:r>
                      </m:e>
                      <m:sub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𝑞</m:t>
                        </m:r>
                      </m:sub>
                    </m:sSub>
                    <m:r>
                      <m:rPr>
                        <m:nor/>
                      </m:rPr>
                      <a:rPr lang="es-CO" sz="1100" b="0" i="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= </m:t>
                    </m:r>
                    <m:sSup>
                      <m:sSup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tan</m:t>
                        </m:r>
                      </m:e>
                      <m:sup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  <m:r>
                      <m:rPr>
                        <m:nor/>
                      </m:rPr>
                      <a:rPr lang="es-CO" sz="1100" b="0" i="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(45+</m:t>
                    </m:r>
                    <m:f>
                      <m:f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𝜙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′</m:t>
                        </m:r>
                      </m:num>
                      <m:den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r>
                      <m:rPr>
                        <m:nor/>
                      </m:rPr>
                      <a:rPr lang="es-CO" sz="1100" b="0" i="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) ∙</m:t>
                    </m:r>
                    <m:sSup>
                      <m:sSup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𝑒</m:t>
                        </m:r>
                      </m:e>
                      <m:sup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(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𝜋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∙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tan</m:t>
                        </m:r>
                        <m:r>
                          <m:rPr>
                            <m:sty m:val="p"/>
                          </m:rPr>
                          <a:rPr lang="el-G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ϕ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′ )</m:t>
                        </m:r>
                        <m:r>
                          <m:rPr>
                            <m:nor/>
                          </m:rPr>
                          <a:rPr lang="es-CO" sz="1100">
                            <a:effectLst/>
                          </a:rPr>
                          <m:t> </m:t>
                        </m:r>
                      </m:sup>
                    </m:sSup>
                  </m:oMath>
                </m:oMathPara>
              </a14:m>
              <a:endParaRPr lang="es-CO" sz="1100">
                <a:effectLst/>
              </a:endParaRPr>
            </a:p>
          </xdr:txBody>
        </xdr:sp>
      </mc:Choice>
      <mc:Fallback xmlns="">
        <xdr:sp macro="" textlink="">
          <xdr:nvSpPr>
            <xdr:cNvPr id="57" name="9 CuadroTexto">
              <a:extLst>
                <a:ext uri="{FF2B5EF4-FFF2-40B4-BE49-F238E27FC236}">
                  <a16:creationId xmlns:a16="http://schemas.microsoft.com/office/drawing/2014/main" id="{868C3264-CDE3-4806-9525-7EA56C9D5697}"/>
                </a:ext>
              </a:extLst>
            </xdr:cNvPr>
            <xdr:cNvSpPr txBox="1"/>
          </xdr:nvSpPr>
          <xdr:spPr>
            <a:xfrm>
              <a:off x="9239250" y="1828800"/>
              <a:ext cx="2295525" cy="4221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"𝑁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_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𝑞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"= " 〖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"tan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〗^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2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"(45+"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 𝜙′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/2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") ∙"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𝑒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"(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𝜋∙tan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" ϕ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"′ )</a:t>
              </a:r>
              <a:r>
                <a:rPr lang="es-CO" sz="1100" i="0">
                  <a:effectLst/>
                </a:rPr>
                <a:t> </a:t>
              </a:r>
              <a:r>
                <a:rPr lang="es-CO" sz="1100" i="0">
                  <a:effectLst/>
                  <a:latin typeface="Cambria Math" panose="02040503050406030204" pitchFamily="18" charset="0"/>
                </a:rPr>
                <a:t>"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es-CO" sz="1100">
                <a:effectLst/>
              </a:endParaRPr>
            </a:p>
          </xdr:txBody>
        </xdr:sp>
      </mc:Fallback>
    </mc:AlternateContent>
    <xdr:clientData/>
  </xdr:oneCellAnchor>
  <xdr:oneCellAnchor>
    <xdr:from>
      <xdr:col>2</xdr:col>
      <xdr:colOff>0</xdr:colOff>
      <xdr:row>30</xdr:row>
      <xdr:rowOff>76200</xdr:rowOff>
    </xdr:from>
    <xdr:ext cx="1357423" cy="45845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CuadroTexto 18">
              <a:extLst>
                <a:ext uri="{FF2B5EF4-FFF2-40B4-BE49-F238E27FC236}">
                  <a16:creationId xmlns:a16="http://schemas.microsoft.com/office/drawing/2014/main" id="{00000000-0008-0000-0800-000013000000}"/>
                </a:ext>
              </a:extLst>
            </xdr:cNvPr>
            <xdr:cNvSpPr txBox="1"/>
          </xdr:nvSpPr>
          <xdr:spPr>
            <a:xfrm>
              <a:off x="1895475" y="17773650"/>
              <a:ext cx="1357423" cy="4584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𝐹𝑆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𝐻</m:t>
                        </m:r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 . 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5.7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𝑐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𝛾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−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𝑐</m:t>
                                </m:r>
                              </m:num>
                              <m:den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0.7</m:t>
                                </m:r>
                                <m:sSub>
                                  <m:sSubPr>
                                    <m:ctrlPr>
                                      <a:rPr lang="es-CO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s-CO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𝐵</m:t>
                                    </m:r>
                                  </m:e>
                                  <m:sub>
                                    <m:r>
                                      <a:rPr lang="es-CO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𝑑</m:t>
                                    </m:r>
                                  </m:sub>
                                </m:sSub>
                              </m:den>
                            </m:f>
                          </m:den>
                        </m:f>
                      </m:e>
                    </m:d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9" name="CuadroTexto 18">
              <a:extLst>
                <a:ext uri="{FF2B5EF4-FFF2-40B4-BE49-F238E27FC236}">
                  <a16:creationId xmlns:a16="http://schemas.microsoft.com/office/drawing/2014/main" id="{00000000-0008-0000-0700-000013000000}"/>
                </a:ext>
              </a:extLst>
            </xdr:cNvPr>
            <xdr:cNvSpPr txBox="1"/>
          </xdr:nvSpPr>
          <xdr:spPr>
            <a:xfrm>
              <a:off x="1895475" y="17773650"/>
              <a:ext cx="1357423" cy="4584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𝐹𝑆=1/𝐻  . (5.7𝑐/(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𝛾−𝑐/(0.7𝐵_𝑑 )))</a:t>
              </a:r>
              <a:endParaRPr lang="es-CO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117443</xdr:colOff>
      <xdr:row>149</xdr:row>
      <xdr:rowOff>27463</xdr:rowOff>
    </xdr:from>
    <xdr:ext cx="1764073" cy="46467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0000000-0008-0000-0900-000002000000}"/>
                </a:ext>
              </a:extLst>
            </xdr:cNvPr>
            <xdr:cNvSpPr txBox="1"/>
          </xdr:nvSpPr>
          <xdr:spPr>
            <a:xfrm>
              <a:off x="3403568" y="1371488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𝑦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𝐵𝑐</m:t>
                        </m:r>
                      </m:den>
                    </m:f>
                    <m:r>
                      <a:rPr lang="es-CO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sub>
                        </m:sSub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𝐾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num>
                      <m:den>
                        <m:f>
                          <m:fPr>
                            <m:ctrlPr>
                              <a:rPr lang="es-CO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8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𝐸𝐼</m:t>
                            </m:r>
                          </m:num>
                          <m:den>
                            <m:sSup>
                              <m:sSupPr>
                                <m:ctrlPr>
                                  <a:rPr lang="es-CO" sz="110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𝐵𝑐</m:t>
                                </m:r>
                              </m:e>
                              <m:sup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p>
                            </m:sSup>
                          </m:den>
                        </m:f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+0.061 .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′</m:t>
                        </m:r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.100%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70895B0-3181-4B1D-8397-1148BFDF174E}"/>
                </a:ext>
              </a:extLst>
            </xdr:cNvPr>
            <xdr:cNvSpPr txBox="1"/>
          </xdr:nvSpPr>
          <xdr:spPr>
            <a:xfrm>
              <a:off x="3403568" y="1371488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𝑦/</a:t>
              </a:r>
              <a:r>
                <a:rPr lang="es-CO" sz="1100" b="0" i="0">
                  <a:latin typeface="Cambria Math" panose="02040503050406030204" pitchFamily="18" charset="0"/>
                </a:rPr>
                <a:t>𝐵𝑐</a:t>
              </a:r>
              <a:r>
                <a:rPr lang="es-CO" sz="1100" i="0">
                  <a:latin typeface="Cambria Math" panose="02040503050406030204" pitchFamily="18" charset="0"/>
                </a:rPr>
                <a:t>=(</a:t>
              </a:r>
              <a:r>
                <a:rPr lang="es-CO" sz="1100" b="0" i="0">
                  <a:latin typeface="Cambria Math" panose="02040503050406030204" pitchFamily="18" charset="0"/>
                </a:rPr>
                <a:t>𝐷_𝐿  . 𝐾 . 𝑊)/(8𝐸𝐼/〖𝐵𝑐〗^3 +0.061 .𝐸′).100%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171450</xdr:colOff>
      <xdr:row>227</xdr:row>
      <xdr:rowOff>114300</xdr:rowOff>
    </xdr:from>
    <xdr:ext cx="2151166" cy="48891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0900-000003000000}"/>
                </a:ext>
              </a:extLst>
            </xdr:cNvPr>
            <xdr:cNvSpPr txBox="1"/>
          </xdr:nvSpPr>
          <xdr:spPr>
            <a:xfrm>
              <a:off x="3457575" y="2143125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𝐹𝑆</m:t>
                        </m:r>
                      </m:den>
                    </m:f>
                    <m:sSup>
                      <m:sSup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32 . </m:t>
                            </m:r>
                            <m:sSub>
                              <m:sSub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𝑊</m:t>
                                </m:r>
                              </m:sub>
                            </m:s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 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𝐵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f>
                              <m:f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𝐸𝐼</m:t>
                                </m:r>
                              </m:num>
                              <m:den>
                                <m:sSup>
                                  <m:sSupPr>
                                    <m:ctrlP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𝐷</m:t>
                                    </m:r>
                                  </m:e>
                                  <m:sup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3</m:t>
                                    </m:r>
                                  </m:sup>
                                </m:sSup>
                              </m:den>
                            </m:f>
                          </m:e>
                        </m:d>
                      </m:e>
                      <m:sup>
                        <m:f>
                          <m:f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886B7940-8A69-4EB3-8030-66F080CF6DA6}"/>
                </a:ext>
              </a:extLst>
            </xdr:cNvPr>
            <xdr:cNvSpPr txBox="1"/>
          </xdr:nvSpPr>
          <xdr:spPr>
            <a:xfrm>
              <a:off x="3457575" y="2143125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b="0" i="0">
                  <a:latin typeface="Cambria Math" panose="02040503050406030204" pitchFamily="18" charset="0"/>
                </a:rPr>
                <a:t>𝑞_𝑎</a:t>
              </a:r>
              <a:r>
                <a:rPr lang="es-CO" sz="1300" i="0">
                  <a:latin typeface="Cambria Math" panose="02040503050406030204" pitchFamily="18" charset="0"/>
                </a:rPr>
                <a:t>=</a:t>
              </a:r>
              <a:r>
                <a:rPr lang="es-CO" sz="1300" b="0" i="0">
                  <a:latin typeface="Cambria Math" panose="02040503050406030204" pitchFamily="18" charset="0"/>
                </a:rPr>
                <a:t>1/𝐹𝑆 (32 . 𝑅_𝑊  . 𝐵^′. 𝐸^′. 𝐸𝐼/𝐷^3 )^(1/2)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47625</xdr:colOff>
      <xdr:row>344</xdr:row>
      <xdr:rowOff>47625</xdr:rowOff>
    </xdr:from>
    <xdr:ext cx="941219" cy="37330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00000000-0008-0000-0900-000004000000}"/>
                </a:ext>
              </a:extLst>
            </xdr:cNvPr>
            <xdr:cNvSpPr txBox="1"/>
          </xdr:nvSpPr>
          <xdr:spPr>
            <a:xfrm>
              <a:off x="3333750" y="2944177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𝐶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𝐴</m:t>
                        </m:r>
                      </m:den>
                    </m:f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F86E9F30-4755-4BC6-8189-2D5A62D4CA89}"/>
                </a:ext>
              </a:extLst>
            </xdr:cNvPr>
            <xdr:cNvSpPr txBox="1"/>
          </xdr:nvSpPr>
          <xdr:spPr>
            <a:xfrm>
              <a:off x="3333750" y="2944177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𝜎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_𝐶</a:t>
              </a:r>
              <a:r>
                <a:rPr lang="es-CO" sz="1300" i="0">
                  <a:latin typeface="Cambria Math" panose="02040503050406030204" pitchFamily="18" charset="0"/>
                </a:rPr>
                <a:t>=(</a:t>
              </a:r>
              <a:r>
                <a:rPr lang="es-CO" sz="1300" b="0" i="0">
                  <a:latin typeface="Cambria Math" panose="02040503050406030204" pitchFamily="18" charset="0"/>
                </a:rPr>
                <a:t>𝑊_𝑇  . 𝐵_𝐶)/(2 . 𝐴)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19050</xdr:colOff>
      <xdr:row>293</xdr:row>
      <xdr:rowOff>104775</xdr:rowOff>
    </xdr:from>
    <xdr:ext cx="2254014" cy="3732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0000000-0008-0000-0900-000005000000}"/>
                </a:ext>
              </a:extLst>
            </xdr:cNvPr>
            <xdr:cNvSpPr txBox="1"/>
          </xdr:nvSpPr>
          <xdr:spPr>
            <a:xfrm>
              <a:off x="3305175" y="2657475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𝛾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. 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𝑑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𝑉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+mn-ea"/>
                      </a:rPr>
                      <m:t>≤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𝑎𝑑𝑚</m:t>
                        </m:r>
                      </m:sub>
                    </m:sSub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4B45C8A8-F74D-4516-9FEA-5064936CF03F}"/>
                </a:ext>
              </a:extLst>
            </xdr:cNvPr>
            <xdr:cNvSpPr txBox="1"/>
          </xdr:nvSpPr>
          <xdr:spPr>
            <a:xfrm>
              <a:off x="3305175" y="2657475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_𝑊. ℎ_𝑊+(𝑅_𝑊.𝑊_𝑑)/𝐷+𝑊_𝑉/𝐷</a:t>
              </a:r>
              <a:r>
                <a:rPr lang="es-CO" sz="1300" b="0" i="0">
                  <a:latin typeface="Cambria Math" panose="02040503050406030204" pitchFamily="18" charset="0"/>
                  <a:ea typeface="+mn-ea"/>
                </a:rPr>
                <a:t>≤𝑞_𝑎𝑑𝑚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371475</xdr:colOff>
      <xdr:row>83</xdr:row>
      <xdr:rowOff>104775</xdr:rowOff>
    </xdr:from>
    <xdr:ext cx="1083053" cy="35041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00000000-0008-0000-0900-000006000000}"/>
                </a:ext>
              </a:extLst>
            </xdr:cNvPr>
            <xdr:cNvSpPr txBox="1"/>
          </xdr:nvSpPr>
          <xdr:spPr>
            <a:xfrm>
              <a:off x="3657600" y="833437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V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lf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S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sub>
                        </m:sSub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A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LL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29226E08-4125-4AF7-99DA-9C5EC8F0EE82}"/>
                </a:ext>
              </a:extLst>
            </xdr:cNvPr>
            <xdr:cNvSpPr txBox="1"/>
          </xdr:nvSpPr>
          <xdr:spPr>
            <a:xfrm>
              <a:off x="3657600" y="833437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W_V=(W . lf . L . S_L)/(L_e  . A_LL 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447675</xdr:colOff>
      <xdr:row>88</xdr:row>
      <xdr:rowOff>9525</xdr:rowOff>
    </xdr:from>
    <xdr:ext cx="24987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0000000-0008-0000-0900-000007000000}"/>
                </a:ext>
              </a:extLst>
            </xdr:cNvPr>
            <xdr:cNvSpPr txBox="1"/>
          </xdr:nvSpPr>
          <xdr:spPr>
            <a:xfrm>
              <a:off x="2924175" y="899160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A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0.25+1.75.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H</m:t>
                        </m:r>
                      </m:e>
                    </m:d>
                    <m:r>
                      <a:rPr lang="es-CO" sz="1100" b="0" i="0">
                        <a:latin typeface="Cambria Math" panose="02040503050406030204" pitchFamily="18" charset="0"/>
                      </a:rPr>
                      <m:t>∗(0.50+1.75.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CD610525-2D17-4B1D-AF67-7ABB2B36956C}"/>
                </a:ext>
              </a:extLst>
            </xdr:cNvPr>
            <xdr:cNvSpPr txBox="1"/>
          </xdr:nvSpPr>
          <xdr:spPr>
            <a:xfrm>
              <a:off x="2924175" y="899160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A_LL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(0.25+1.75.H)∗(0.50+1.75.H)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89</xdr:row>
      <xdr:rowOff>66675</xdr:rowOff>
    </xdr:from>
    <xdr:ext cx="10570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0000000-0008-0000-0900-000008000000}"/>
                </a:ext>
              </a:extLst>
            </xdr:cNvPr>
            <xdr:cNvSpPr txBox="1"/>
          </xdr:nvSpPr>
          <xdr:spPr>
            <a:xfrm>
              <a:off x="3124200" y="925830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0.5+1.75.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833353C8-AFB1-4FDC-8088-04FAAC00A957}"/>
                </a:ext>
              </a:extLst>
            </xdr:cNvPr>
            <xdr:cNvSpPr txBox="1"/>
          </xdr:nvSpPr>
          <xdr:spPr>
            <a:xfrm>
              <a:off x="3124200" y="925830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0.5+1.75.H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600075</xdr:colOff>
      <xdr:row>90</xdr:row>
      <xdr:rowOff>104775</xdr:rowOff>
    </xdr:from>
    <xdr:ext cx="114396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0000000-0008-0000-0900-000009000000}"/>
                </a:ext>
              </a:extLst>
            </xdr:cNvPr>
            <xdr:cNvSpPr txBox="1"/>
          </xdr:nvSpPr>
          <xdr:spPr>
            <a:xfrm>
              <a:off x="3076575" y="953452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S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0.25+1.75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B134C18-2105-47B0-9BA4-0918E6A268D6}"/>
                </a:ext>
              </a:extLst>
            </xdr:cNvPr>
            <xdr:cNvSpPr txBox="1"/>
          </xdr:nvSpPr>
          <xdr:spPr>
            <a:xfrm>
              <a:off x="3076575" y="953452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S_L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0.25+1.75H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581025</xdr:colOff>
      <xdr:row>91</xdr:row>
      <xdr:rowOff>114300</xdr:rowOff>
    </xdr:from>
    <xdr:ext cx="1332994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0000000-0008-0000-0900-00000A000000}"/>
                </a:ext>
              </a:extLst>
            </xdr:cNvPr>
            <xdr:cNvSpPr txBox="1"/>
          </xdr:nvSpPr>
          <xdr:spPr>
            <a:xfrm>
              <a:off x="3057525" y="978217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e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+1.75 . 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3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Bc</m:t>
                            </m:r>
                          </m:num>
                          <m:den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4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337D5C79-9890-4EA0-9243-56CB1F671513}"/>
                </a:ext>
              </a:extLst>
            </xdr:cNvPr>
            <xdr:cNvSpPr txBox="1"/>
          </xdr:nvSpPr>
          <xdr:spPr>
            <a:xfrm>
              <a:off x="3057525" y="978217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L_e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L+1.75 . (3Bc/4)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495300</xdr:colOff>
      <xdr:row>11</xdr:row>
      <xdr:rowOff>0</xdr:rowOff>
    </xdr:from>
    <xdr:ext cx="1373838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0000000-0008-0000-0900-00000B000000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d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 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Bd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C4FB73EC-AB54-43A9-A95B-1D179F181EC4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W_d=C_d 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Bd^2  .  </a:t>
              </a:r>
              <a:r>
                <a:rPr lang="es-CO" sz="1100" b="0" i="0">
                  <a:latin typeface="Cambria Math" panose="02040503050406030204" pitchFamily="18" charset="0"/>
                </a:rPr>
                <a:t> Bc/Bd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704850</xdr:colOff>
      <xdr:row>14</xdr:row>
      <xdr:rowOff>133350</xdr:rowOff>
    </xdr:from>
    <xdr:ext cx="1123577" cy="4494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00000000-0008-0000-0900-00000C000000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e>
                          <m:sup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−2.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m:rPr>
                                <m:sty m:val="p"/>
                              </m:rPr>
                              <a:rPr lang="el-G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μ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Hc</m:t>
                                </m:r>
                              </m:num>
                              <m:den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Bd</m:t>
                                </m:r>
                              </m:den>
                            </m:f>
                          </m:sup>
                        </m:sSup>
                      </m:num>
                      <m:den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k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l-G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μ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1A08B89B-4D77-455D-BDDC-A5795509EC2A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C_d=(1−e^(−2.k.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.</a:t>
              </a:r>
              <a:r>
                <a:rPr lang="es-CO" sz="1100" b="0" i="0">
                  <a:latin typeface="Cambria Math" panose="02040503050406030204" pitchFamily="18" charset="0"/>
                </a:rPr>
                <a:t>.Hc/Bd))/(2 . k .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18</xdr:row>
      <xdr:rowOff>85725</xdr:rowOff>
    </xdr:from>
    <xdr:ext cx="1159420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0000000-0008-0000-0900-00000D000000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k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tan</m:t>
                        </m:r>
                      </m:e>
                      <m:sup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45−</m:t>
                        </m:r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𝜙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5B7B655C-499A-4656-A958-642C1360A805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k=tan^2 (45−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𝜙/2)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5</xdr:col>
      <xdr:colOff>142875</xdr:colOff>
      <xdr:row>21</xdr:row>
      <xdr:rowOff>142875</xdr:rowOff>
    </xdr:from>
    <xdr:ext cx="60721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00000000-0008-0000-0900-00000E000000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l-G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μ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𝑡𝑎𝑛</m:t>
                    </m:r>
                    <m:r>
                      <a:rPr lang="es-CO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𝜙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986AE9E5-67CD-4C45-B84E-BF8AF6FE370E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</a:rPr>
                <a:t>=𝑡𝑎𝑛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504825</xdr:colOff>
      <xdr:row>26</xdr:row>
      <xdr:rowOff>85725</xdr:rowOff>
    </xdr:from>
    <xdr:ext cx="1064972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0000000-0008-0000-0900-00000F000000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c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50B27CF8-5E7D-4124-8738-C99DC81E8147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W_d=Cc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Bc^2  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752475</xdr:colOff>
      <xdr:row>31</xdr:row>
      <xdr:rowOff>47625</xdr:rowOff>
    </xdr:from>
    <xdr:ext cx="54726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00000000-0008-0000-0900-000010000000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Bc</m:t>
                        </m:r>
                      </m:den>
                    </m:f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A460468A-1718-49B5-BEBB-D725C3B153D0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Cc=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Hc/Bc  </a:t>
              </a:r>
              <a:endParaRPr lang="es-CO" sz="1100" b="0" i="0"/>
            </a:p>
          </xdr:txBody>
        </xdr:sp>
      </mc:Fallback>
    </mc:AlternateContent>
    <xdr:clientData/>
  </xdr:oneCellAnchor>
  <xdr:twoCellAnchor editAs="oneCell">
    <xdr:from>
      <xdr:col>4</xdr:col>
      <xdr:colOff>321468</xdr:colOff>
      <xdr:row>447</xdr:row>
      <xdr:rowOff>59530</xdr:rowOff>
    </xdr:from>
    <xdr:to>
      <xdr:col>8</xdr:col>
      <xdr:colOff>876299</xdr:colOff>
      <xdr:row>468</xdr:row>
      <xdr:rowOff>55109</xdr:rowOff>
    </xdr:to>
    <xdr:pic>
      <xdr:nvPicPr>
        <xdr:cNvPr id="26" name="Imagen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93218" y="71806593"/>
          <a:ext cx="4495800" cy="324598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41</xdr:row>
      <xdr:rowOff>28575</xdr:rowOff>
    </xdr:from>
    <xdr:to>
      <xdr:col>3</xdr:col>
      <xdr:colOff>0</xdr:colOff>
      <xdr:row>46</xdr:row>
      <xdr:rowOff>0</xdr:rowOff>
    </xdr:to>
    <xdr:grpSp>
      <xdr:nvGrpSpPr>
        <xdr:cNvPr id="2" name="22 Grupo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>
          <a:grpSpLocks/>
        </xdr:cNvGrpSpPr>
      </xdr:nvGrpSpPr>
      <xdr:grpSpPr bwMode="auto">
        <a:xfrm>
          <a:off x="885825" y="6391275"/>
          <a:ext cx="1962150" cy="733425"/>
          <a:chOff x="885825" y="25805606"/>
          <a:chExt cx="1793081" cy="804863"/>
        </a:xfrm>
      </xdr:grpSpPr>
      <xdr:sp macro="" textlink="">
        <xdr:nvSpPr>
          <xdr:cNvPr id="3" name="Line 13">
            <a:extLs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SpPr>
            <a:spLocks noChangeShapeType="1"/>
          </xdr:cNvSpPr>
        </xdr:nvSpPr>
        <xdr:spPr bwMode="auto">
          <a:xfrm>
            <a:off x="885825" y="25805606"/>
            <a:ext cx="0" cy="80486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arrow" w="sm" len="med"/>
            <a:tailEnd type="arrow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" name="Line 14">
            <a:extLs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1774031" y="26048494"/>
            <a:ext cx="90487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arrow" w="sm" len="med"/>
            <a:tailEnd type="arrow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 editAs="absolute">
    <xdr:from>
      <xdr:col>1</xdr:col>
      <xdr:colOff>529590</xdr:colOff>
      <xdr:row>260</xdr:row>
      <xdr:rowOff>140970</xdr:rowOff>
    </xdr:from>
    <xdr:to>
      <xdr:col>4</xdr:col>
      <xdr:colOff>99060</xdr:colOff>
      <xdr:row>273</xdr:row>
      <xdr:rowOff>26670</xdr:rowOff>
    </xdr:to>
    <xdr:grpSp>
      <xdr:nvGrpSpPr>
        <xdr:cNvPr id="5" name="74 Grupo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pSpPr>
          <a:grpSpLocks/>
        </xdr:cNvGrpSpPr>
      </xdr:nvGrpSpPr>
      <xdr:grpSpPr bwMode="auto">
        <a:xfrm>
          <a:off x="1291590" y="39879270"/>
          <a:ext cx="2417445" cy="1866900"/>
          <a:chOff x="1343025" y="30391894"/>
          <a:chExt cx="2431256" cy="1924050"/>
        </a:xfrm>
      </xdr:grpSpPr>
      <xdr:sp macro="" textlink="">
        <xdr:nvSpPr>
          <xdr:cNvPr id="6" name="Line 38">
            <a:extLst>
              <a:ext uri="{FF2B5EF4-FFF2-40B4-BE49-F238E27FC236}">
                <a16:creationId xmlns:a16="http://schemas.microsoft.com/office/drawing/2014/main" id="{00000000-0008-0000-0A00-000006000000}"/>
              </a:ext>
            </a:extLst>
          </xdr:cNvPr>
          <xdr:cNvSpPr>
            <a:spLocks noChangeShapeType="1"/>
          </xdr:cNvSpPr>
        </xdr:nvSpPr>
        <xdr:spPr bwMode="auto">
          <a:xfrm>
            <a:off x="2602706" y="30420469"/>
            <a:ext cx="0" cy="189547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7" name="73 Grupo">
            <a:extLst>
              <a:ext uri="{FF2B5EF4-FFF2-40B4-BE49-F238E27FC236}">
                <a16:creationId xmlns:a16="http://schemas.microsoft.com/office/drawing/2014/main" id="{00000000-0008-0000-0A00-000007000000}"/>
              </a:ext>
            </a:extLst>
          </xdr:cNvPr>
          <xdr:cNvGrpSpPr>
            <a:grpSpLocks/>
          </xdr:cNvGrpSpPr>
        </xdr:nvGrpSpPr>
        <xdr:grpSpPr bwMode="auto">
          <a:xfrm>
            <a:off x="1343025" y="30391894"/>
            <a:ext cx="2431256" cy="1924050"/>
            <a:chOff x="1343025" y="30391894"/>
            <a:chExt cx="2431256" cy="1924050"/>
          </a:xfrm>
        </xdr:grpSpPr>
        <xdr:sp macro="" textlink="">
          <xdr:nvSpPr>
            <xdr:cNvPr id="8" name="Rectangle 30">
              <a:extLst>
                <a:ext uri="{FF2B5EF4-FFF2-40B4-BE49-F238E27FC236}">
                  <a16:creationId xmlns:a16="http://schemas.microsoft.com/office/drawing/2014/main" id="{00000000-0008-0000-0A00-000008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2250281" y="30420469"/>
              <a:ext cx="257175" cy="1895475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9" name="Line 31">
              <a:extLst>
                <a:ext uri="{FF2B5EF4-FFF2-40B4-BE49-F238E27FC236}">
                  <a16:creationId xmlns:a16="http://schemas.microsoft.com/office/drawing/2014/main" id="{00000000-0008-0000-0A00-000009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504950" y="30787181"/>
              <a:ext cx="7548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0" name="Text Box 32">
              <a:extLst>
                <a:ext uri="{FF2B5EF4-FFF2-40B4-BE49-F238E27FC236}">
                  <a16:creationId xmlns:a16="http://schemas.microsoft.com/office/drawing/2014/main" id="{00000000-0008-0000-0A00-00000A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343025" y="30714197"/>
              <a:ext cx="228824" cy="117201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0" tIns="0" rIns="0" bIns="0" anchor="t" upright="1"/>
            <a:lstStyle/>
            <a:p>
              <a:pPr algn="l" rtl="0">
                <a:defRPr sz="1000"/>
              </a:pPr>
              <a:r>
                <a:rPr lang="es-CO" sz="9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A</a:t>
              </a:r>
            </a:p>
          </xdr:txBody>
        </xdr:sp>
        <xdr:grpSp>
          <xdr:nvGrpSpPr>
            <xdr:cNvPr id="11" name="Group 33">
              <a:extLst>
                <a:ext uri="{FF2B5EF4-FFF2-40B4-BE49-F238E27FC236}">
                  <a16:creationId xmlns:a16="http://schemas.microsoft.com/office/drawing/2014/main" id="{00000000-0008-0000-0A00-00000B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107531" y="30391894"/>
              <a:ext cx="666750" cy="1924050"/>
              <a:chOff x="4941" y="4608"/>
              <a:chExt cx="840" cy="2520"/>
            </a:xfrm>
          </xdr:grpSpPr>
          <xdr:sp macro="" textlink="">
            <xdr:nvSpPr>
              <xdr:cNvPr id="19" name="Line 34">
                <a:extLst>
                  <a:ext uri="{FF2B5EF4-FFF2-40B4-BE49-F238E27FC236}">
                    <a16:creationId xmlns:a16="http://schemas.microsoft.com/office/drawing/2014/main" id="{00000000-0008-0000-0A00-000013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4941" y="4608"/>
                <a:ext cx="0" cy="252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0" name="Line 35">
                <a:extLst>
                  <a:ext uri="{FF2B5EF4-FFF2-40B4-BE49-F238E27FC236}">
                    <a16:creationId xmlns:a16="http://schemas.microsoft.com/office/drawing/2014/main" id="{00000000-0008-0000-0A00-000014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4941" y="4608"/>
                <a:ext cx="840" cy="72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1" name="Line 36">
                <a:extLst>
                  <a:ext uri="{FF2B5EF4-FFF2-40B4-BE49-F238E27FC236}">
                    <a16:creationId xmlns:a16="http://schemas.microsoft.com/office/drawing/2014/main" id="{00000000-0008-0000-0A00-000015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4941" y="7128"/>
                <a:ext cx="840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2" name="Line 37">
                <a:extLst>
                  <a:ext uri="{FF2B5EF4-FFF2-40B4-BE49-F238E27FC236}">
                    <a16:creationId xmlns:a16="http://schemas.microsoft.com/office/drawing/2014/main" id="{00000000-0008-0000-0A00-000016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5781" y="5328"/>
                <a:ext cx="0" cy="180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2" name="Line 39">
              <a:extLst>
                <a:ext uri="{FF2B5EF4-FFF2-40B4-BE49-F238E27FC236}">
                  <a16:creationId xmlns:a16="http://schemas.microsoft.com/office/drawing/2014/main" id="{00000000-0008-0000-0A00-00000C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564606" y="30930056"/>
              <a:ext cx="7620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3" name="Line 40">
              <a:extLst>
                <a:ext uri="{FF2B5EF4-FFF2-40B4-BE49-F238E27FC236}">
                  <a16:creationId xmlns:a16="http://schemas.microsoft.com/office/drawing/2014/main" id="{00000000-0008-0000-0A00-00000D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564606" y="32315944"/>
              <a:ext cx="7620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4" name="Line 41">
              <a:extLst>
                <a:ext uri="{FF2B5EF4-FFF2-40B4-BE49-F238E27FC236}">
                  <a16:creationId xmlns:a16="http://schemas.microsoft.com/office/drawing/2014/main" id="{00000000-0008-0000-0A00-00000E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564606" y="30420469"/>
              <a:ext cx="7620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" name="Line 42">
              <a:extLst>
                <a:ext uri="{FF2B5EF4-FFF2-40B4-BE49-F238E27FC236}">
                  <a16:creationId xmlns:a16="http://schemas.microsoft.com/office/drawing/2014/main" id="{00000000-0008-0000-0A00-00000F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495425" y="31349156"/>
              <a:ext cx="7548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" name="Text Box 43">
              <a:extLst>
                <a:ext uri="{FF2B5EF4-FFF2-40B4-BE49-F238E27FC236}">
                  <a16:creationId xmlns:a16="http://schemas.microsoft.com/office/drawing/2014/main" id="{00000000-0008-0000-0A00-000010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362094" y="31241601"/>
              <a:ext cx="228824" cy="15626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0" tIns="0" rIns="0" bIns="0" anchor="t" upright="1"/>
            <a:lstStyle/>
            <a:p>
              <a:pPr algn="l" rtl="0">
                <a:defRPr sz="1000"/>
              </a:pPr>
              <a:r>
                <a:rPr lang="es-CO" sz="9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</a:t>
              </a:r>
            </a:p>
          </xdr:txBody>
        </xdr:sp>
        <xdr:sp macro="" textlink="">
          <xdr:nvSpPr>
            <xdr:cNvPr id="17" name="Line 42">
              <a:extLst>
                <a:ext uri="{FF2B5EF4-FFF2-40B4-BE49-F238E27FC236}">
                  <a16:creationId xmlns:a16="http://schemas.microsoft.com/office/drawing/2014/main" id="{00000000-0008-0000-0A00-000011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495425" y="31942087"/>
              <a:ext cx="7548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" name="Text Box 43">
              <a:extLst>
                <a:ext uri="{FF2B5EF4-FFF2-40B4-BE49-F238E27FC236}">
                  <a16:creationId xmlns:a16="http://schemas.microsoft.com/office/drawing/2014/main" id="{00000000-0008-0000-0A00-000012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362094" y="31847140"/>
              <a:ext cx="228824" cy="146501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0" tIns="0" rIns="0" bIns="0" anchor="t" upright="1"/>
            <a:lstStyle/>
            <a:p>
              <a:pPr algn="l" rtl="0">
                <a:defRPr sz="1000"/>
              </a:pPr>
              <a:r>
                <a:rPr lang="es-CO" sz="9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</a:t>
              </a:r>
            </a:p>
          </xdr:txBody>
        </xdr:sp>
      </xdr:grpSp>
    </xdr:grpSp>
    <xdr:clientData/>
  </xdr:twoCellAnchor>
  <xdr:oneCellAnchor>
    <xdr:from>
      <xdr:col>1</xdr:col>
      <xdr:colOff>304800</xdr:colOff>
      <xdr:row>10</xdr:row>
      <xdr:rowOff>123825</xdr:rowOff>
    </xdr:from>
    <xdr:ext cx="3248025" cy="4250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2 CuadroTexto">
              <a:extLst>
                <a:ext uri="{FF2B5EF4-FFF2-40B4-BE49-F238E27FC236}">
                  <a16:creationId xmlns:a16="http://schemas.microsoft.com/office/drawing/2014/main" id="{00000000-0008-0000-0A00-000017000000}"/>
                </a:ext>
              </a:extLst>
            </xdr:cNvPr>
            <xdr:cNvSpPr txBox="1"/>
          </xdr:nvSpPr>
          <xdr:spPr>
            <a:xfrm>
              <a:off x="1066800" y="1600200"/>
              <a:ext cx="3248025" cy="425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𝑞</m:t>
                        </m:r>
                      </m:e>
                      <m:sub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𝑎𝑑𝑚</m:t>
                        </m:r>
                      </m:sub>
                    </m:sSub>
                    <m:r>
                      <m:rPr>
                        <m:nor/>
                      </m:rPr>
                      <a:rPr lang="es-CO" sz="1100" b="0" i="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C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.</m:t>
                        </m:r>
                        <m:sSub>
                          <m:sSubPr>
                            <m:ctrlP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m:rPr>
                                <m:nor/>
                              </m:rPr>
                              <a:rPr lang="es-CO" sz="1100" b="0" i="0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𝑁</m:t>
                            </m:r>
                          </m:e>
                          <m:sub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</m:t>
                            </m:r>
                          </m:sub>
                        </m:sSub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+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𝑞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∙</m:t>
                        </m:r>
                        <m:sSub>
                          <m:sSubPr>
                            <m:ctrlP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m:rPr>
                                <m:nor/>
                              </m:rPr>
                              <a:rPr lang="es-CO" sz="1100" b="0" i="0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𝑁</m:t>
                            </m:r>
                          </m:e>
                          <m:sub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𝑞</m:t>
                            </m:r>
                          </m:sub>
                        </m:sSub>
                      </m:num>
                      <m:den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𝐹𝑆</m:t>
                        </m:r>
                      </m:den>
                    </m:f>
                  </m:oMath>
                </m:oMathPara>
              </a14:m>
              <a:endParaRPr lang="es-CO">
                <a:effectLst/>
              </a:endParaRPr>
            </a:p>
          </xdr:txBody>
        </xdr:sp>
      </mc:Choice>
      <mc:Fallback xmlns="">
        <xdr:sp macro="" textlink="">
          <xdr:nvSpPr>
            <xdr:cNvPr id="23" name="2 CuadroTexto">
              <a:extLst>
                <a:ext uri="{FF2B5EF4-FFF2-40B4-BE49-F238E27FC236}">
                  <a16:creationId xmlns:a16="http://schemas.microsoft.com/office/drawing/2014/main" id="{1E80D502-A55C-4EC2-98BA-A9B8392ADD40}"/>
                </a:ext>
              </a:extLst>
            </xdr:cNvPr>
            <xdr:cNvSpPr txBox="1"/>
          </xdr:nvSpPr>
          <xdr:spPr>
            <a:xfrm>
              <a:off x="1066800" y="1600200"/>
              <a:ext cx="3248025" cy="425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CO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𝑞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_𝑎𝑑𝑚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"= "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"C.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"𝑁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_𝑐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"+𝑞∙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"𝑁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_𝑞)/𝐹𝑆</a:t>
              </a:r>
              <a:endParaRPr lang="es-CO">
                <a:effectLst/>
              </a:endParaRPr>
            </a:p>
          </xdr:txBody>
        </xdr:sp>
      </mc:Fallback>
    </mc:AlternateContent>
    <xdr:clientData/>
  </xdr:oneCellAnchor>
  <xdr:oneCellAnchor>
    <xdr:from>
      <xdr:col>11</xdr:col>
      <xdr:colOff>200025</xdr:colOff>
      <xdr:row>12</xdr:row>
      <xdr:rowOff>47625</xdr:rowOff>
    </xdr:from>
    <xdr:ext cx="2295525" cy="4221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9 CuadroTexto">
              <a:extLst>
                <a:ext uri="{FF2B5EF4-FFF2-40B4-BE49-F238E27FC236}">
                  <a16:creationId xmlns:a16="http://schemas.microsoft.com/office/drawing/2014/main" id="{00000000-0008-0000-0A00-000018000000}"/>
                </a:ext>
              </a:extLst>
            </xdr:cNvPr>
            <xdr:cNvSpPr txBox="1"/>
          </xdr:nvSpPr>
          <xdr:spPr>
            <a:xfrm>
              <a:off x="9239250" y="1828800"/>
              <a:ext cx="2295525" cy="4221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𝑁</m:t>
                        </m:r>
                      </m:e>
                      <m:sub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𝑞</m:t>
                        </m:r>
                      </m:sub>
                    </m:sSub>
                    <m:r>
                      <m:rPr>
                        <m:nor/>
                      </m:rPr>
                      <a:rPr lang="es-CO" sz="1100" b="0" i="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= </m:t>
                    </m:r>
                    <m:sSup>
                      <m:sSup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tan</m:t>
                        </m:r>
                      </m:e>
                      <m:sup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  <m:r>
                      <m:rPr>
                        <m:nor/>
                      </m:rPr>
                      <a:rPr lang="es-CO" sz="1100" b="0" i="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(45+</m:t>
                    </m:r>
                    <m:f>
                      <m:f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𝜙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′</m:t>
                        </m:r>
                      </m:num>
                      <m:den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r>
                      <m:rPr>
                        <m:nor/>
                      </m:rPr>
                      <a:rPr lang="es-CO" sz="1100" b="0" i="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) ∙</m:t>
                    </m:r>
                    <m:sSup>
                      <m:sSup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𝑒</m:t>
                        </m:r>
                      </m:e>
                      <m:sup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(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𝜋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∙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tan</m:t>
                        </m:r>
                        <m:r>
                          <m:rPr>
                            <m:sty m:val="p"/>
                          </m:rPr>
                          <a:rPr lang="el-G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ϕ</m:t>
                        </m:r>
                        <m:r>
                          <m:rPr>
                            <m:nor/>
                          </m:rPr>
                          <a:rPr lang="es-CO" sz="1100" b="0" i="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′ )</m:t>
                        </m:r>
                        <m:r>
                          <m:rPr>
                            <m:nor/>
                          </m:rPr>
                          <a:rPr lang="es-CO" sz="1100">
                            <a:effectLst/>
                          </a:rPr>
                          <m:t> </m:t>
                        </m:r>
                      </m:sup>
                    </m:sSup>
                  </m:oMath>
                </m:oMathPara>
              </a14:m>
              <a:endParaRPr lang="es-CO" sz="1100">
                <a:effectLst/>
              </a:endParaRPr>
            </a:p>
          </xdr:txBody>
        </xdr:sp>
      </mc:Choice>
      <mc:Fallback xmlns="">
        <xdr:sp macro="" textlink="">
          <xdr:nvSpPr>
            <xdr:cNvPr id="24" name="9 CuadroTexto">
              <a:extLst>
                <a:ext uri="{FF2B5EF4-FFF2-40B4-BE49-F238E27FC236}">
                  <a16:creationId xmlns:a16="http://schemas.microsoft.com/office/drawing/2014/main" id="{8C7603F0-6815-4599-A9A4-B75FB664B6C1}"/>
                </a:ext>
              </a:extLst>
            </xdr:cNvPr>
            <xdr:cNvSpPr txBox="1"/>
          </xdr:nvSpPr>
          <xdr:spPr>
            <a:xfrm>
              <a:off x="9239250" y="1828800"/>
              <a:ext cx="2295525" cy="4221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"𝑁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_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𝑞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"= " 〖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"tan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〗^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2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"(45+"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 𝜙′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/2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") ∙"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𝑒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"(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𝜋∙tan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" ϕ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"′ )</a:t>
              </a:r>
              <a:r>
                <a:rPr lang="es-CO" sz="1100" i="0">
                  <a:effectLst/>
                </a:rPr>
                <a:t> </a:t>
              </a:r>
              <a:r>
                <a:rPr lang="es-CO" sz="1100" i="0">
                  <a:effectLst/>
                  <a:latin typeface="Cambria Math" panose="02040503050406030204" pitchFamily="18" charset="0"/>
                </a:rPr>
                <a:t>"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es-CO" sz="1100">
                <a:effectLst/>
              </a:endParaRPr>
            </a:p>
          </xdr:txBody>
        </xdr:sp>
      </mc:Fallback>
    </mc:AlternateContent>
    <xdr:clientData/>
  </xdr:oneCellAnchor>
  <xdr:oneCellAnchor>
    <xdr:from>
      <xdr:col>2</xdr:col>
      <xdr:colOff>0</xdr:colOff>
      <xdr:row>30</xdr:row>
      <xdr:rowOff>76200</xdr:rowOff>
    </xdr:from>
    <xdr:ext cx="1357423" cy="45845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CuadroTexto 24">
              <a:extLst>
                <a:ext uri="{FF2B5EF4-FFF2-40B4-BE49-F238E27FC236}">
                  <a16:creationId xmlns:a16="http://schemas.microsoft.com/office/drawing/2014/main" id="{00000000-0008-0000-0A00-000019000000}"/>
                </a:ext>
              </a:extLst>
            </xdr:cNvPr>
            <xdr:cNvSpPr txBox="1"/>
          </xdr:nvSpPr>
          <xdr:spPr>
            <a:xfrm>
              <a:off x="1895475" y="4762500"/>
              <a:ext cx="1357423" cy="4584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𝐹𝑆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𝐻</m:t>
                        </m:r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 . 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5.7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𝑐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𝛾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−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𝑐</m:t>
                                </m:r>
                              </m:num>
                              <m:den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0.7</m:t>
                                </m:r>
                                <m:sSub>
                                  <m:sSubPr>
                                    <m:ctrlPr>
                                      <a:rPr lang="es-CO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s-CO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𝐵</m:t>
                                    </m:r>
                                  </m:e>
                                  <m:sub>
                                    <m:r>
                                      <a:rPr lang="es-CO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𝑑</m:t>
                                    </m:r>
                                  </m:sub>
                                </m:sSub>
                              </m:den>
                            </m:f>
                          </m:den>
                        </m:f>
                      </m:e>
                    </m:d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5" name="CuadroTexto 24">
              <a:extLst>
                <a:ext uri="{FF2B5EF4-FFF2-40B4-BE49-F238E27FC236}">
                  <a16:creationId xmlns:a16="http://schemas.microsoft.com/office/drawing/2014/main" id="{E4FD756C-0227-42EC-BDB8-3AC39BE66AA9}"/>
                </a:ext>
              </a:extLst>
            </xdr:cNvPr>
            <xdr:cNvSpPr txBox="1"/>
          </xdr:nvSpPr>
          <xdr:spPr>
            <a:xfrm>
              <a:off x="1895475" y="4762500"/>
              <a:ext cx="1357423" cy="4584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𝐹𝑆=1/𝐻  . (5.7𝑐/(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𝛾−𝑐/(0.7𝐵_𝑑 )))</a:t>
              </a:r>
              <a:endParaRPr lang="es-CO" sz="1100"/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117443</xdr:colOff>
      <xdr:row>145</xdr:row>
      <xdr:rowOff>27463</xdr:rowOff>
    </xdr:from>
    <xdr:ext cx="1764073" cy="46467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0000000-0008-0000-0B00-000002000000}"/>
                </a:ext>
              </a:extLst>
            </xdr:cNvPr>
            <xdr:cNvSpPr txBox="1"/>
          </xdr:nvSpPr>
          <xdr:spPr>
            <a:xfrm>
              <a:off x="3403568" y="185726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𝑦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𝐵𝑐</m:t>
                        </m:r>
                      </m:den>
                    </m:f>
                    <m:r>
                      <a:rPr lang="es-CO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sub>
                        </m:sSub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𝐾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num>
                      <m:den>
                        <m:f>
                          <m:fPr>
                            <m:ctrlPr>
                              <a:rPr lang="es-CO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8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𝐸𝐼</m:t>
                            </m:r>
                          </m:num>
                          <m:den>
                            <m:sSup>
                              <m:sSupPr>
                                <m:ctrlPr>
                                  <a:rPr lang="es-CO" sz="110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𝐵𝑐</m:t>
                                </m:r>
                              </m:e>
                              <m:sup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p>
                            </m:sSup>
                          </m:den>
                        </m:f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+0.061 .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′</m:t>
                        </m:r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.100%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8748FC35-B52D-49DD-BF9E-736FF00145ED}"/>
                </a:ext>
              </a:extLst>
            </xdr:cNvPr>
            <xdr:cNvSpPr txBox="1"/>
          </xdr:nvSpPr>
          <xdr:spPr>
            <a:xfrm>
              <a:off x="3403568" y="185726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𝑦/</a:t>
              </a:r>
              <a:r>
                <a:rPr lang="es-CO" sz="1100" b="0" i="0">
                  <a:latin typeface="Cambria Math" panose="02040503050406030204" pitchFamily="18" charset="0"/>
                </a:rPr>
                <a:t>𝐵𝑐</a:t>
              </a:r>
              <a:r>
                <a:rPr lang="es-CO" sz="1100" i="0">
                  <a:latin typeface="Cambria Math" panose="02040503050406030204" pitchFamily="18" charset="0"/>
                </a:rPr>
                <a:t>=(</a:t>
              </a:r>
              <a:r>
                <a:rPr lang="es-CO" sz="1100" b="0" i="0">
                  <a:latin typeface="Cambria Math" panose="02040503050406030204" pitchFamily="18" charset="0"/>
                </a:rPr>
                <a:t>𝐷_𝐿  . 𝐾 . 𝑊)/(8𝐸𝐼/〖𝐵𝑐〗^3 +0.061 .𝐸′).100%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171450</xdr:colOff>
      <xdr:row>221</xdr:row>
      <xdr:rowOff>114300</xdr:rowOff>
    </xdr:from>
    <xdr:ext cx="2151166" cy="48891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0B00-000003000000}"/>
                </a:ext>
              </a:extLst>
            </xdr:cNvPr>
            <xdr:cNvSpPr txBox="1"/>
          </xdr:nvSpPr>
          <xdr:spPr>
            <a:xfrm>
              <a:off x="3457575" y="285750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𝐹𝑆</m:t>
                        </m:r>
                      </m:den>
                    </m:f>
                    <m:sSup>
                      <m:sSup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32 . </m:t>
                            </m:r>
                            <m:sSub>
                              <m:sSub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𝑊</m:t>
                                </m:r>
                              </m:sub>
                            </m:s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 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𝐵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f>
                              <m:f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𝐸𝐼</m:t>
                                </m:r>
                              </m:num>
                              <m:den>
                                <m:sSup>
                                  <m:sSupPr>
                                    <m:ctrlP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𝐷</m:t>
                                    </m:r>
                                  </m:e>
                                  <m:sup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3</m:t>
                                    </m:r>
                                  </m:sup>
                                </m:sSup>
                              </m:den>
                            </m:f>
                          </m:e>
                        </m:d>
                      </m:e>
                      <m:sup>
                        <m:f>
                          <m:f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9947516E-69A9-49A5-83FF-53FB2D18588C}"/>
                </a:ext>
              </a:extLst>
            </xdr:cNvPr>
            <xdr:cNvSpPr txBox="1"/>
          </xdr:nvSpPr>
          <xdr:spPr>
            <a:xfrm>
              <a:off x="3457575" y="285750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b="0" i="0">
                  <a:latin typeface="Cambria Math" panose="02040503050406030204" pitchFamily="18" charset="0"/>
                </a:rPr>
                <a:t>𝑞_𝑎</a:t>
              </a:r>
              <a:r>
                <a:rPr lang="es-CO" sz="1300" i="0">
                  <a:latin typeface="Cambria Math" panose="02040503050406030204" pitchFamily="18" charset="0"/>
                </a:rPr>
                <a:t>=</a:t>
              </a:r>
              <a:r>
                <a:rPr lang="es-CO" sz="1300" b="0" i="0">
                  <a:latin typeface="Cambria Math" panose="02040503050406030204" pitchFamily="18" charset="0"/>
                </a:rPr>
                <a:t>1/𝐹𝑆 (32 . 𝑅_𝑊  . 𝐵^′. 𝐸^′. 𝐸𝐼/𝐷^3 )^(1/2)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47625</xdr:colOff>
      <xdr:row>334</xdr:row>
      <xdr:rowOff>47625</xdr:rowOff>
    </xdr:from>
    <xdr:ext cx="941219" cy="37330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00000000-0008-0000-0B00-000004000000}"/>
                </a:ext>
              </a:extLst>
            </xdr:cNvPr>
            <xdr:cNvSpPr txBox="1"/>
          </xdr:nvSpPr>
          <xdr:spPr>
            <a:xfrm>
              <a:off x="3333750" y="411575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𝐶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𝐴</m:t>
                        </m:r>
                      </m:den>
                    </m:f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43F0D9E2-90DD-4C7A-AD4D-703E3014100E}"/>
                </a:ext>
              </a:extLst>
            </xdr:cNvPr>
            <xdr:cNvSpPr txBox="1"/>
          </xdr:nvSpPr>
          <xdr:spPr>
            <a:xfrm>
              <a:off x="3333750" y="411575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𝜎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_𝐶</a:t>
              </a:r>
              <a:r>
                <a:rPr lang="es-CO" sz="1300" i="0">
                  <a:latin typeface="Cambria Math" panose="02040503050406030204" pitchFamily="18" charset="0"/>
                </a:rPr>
                <a:t>=(</a:t>
              </a:r>
              <a:r>
                <a:rPr lang="es-CO" sz="1300" b="0" i="0">
                  <a:latin typeface="Cambria Math" panose="02040503050406030204" pitchFamily="18" charset="0"/>
                </a:rPr>
                <a:t>𝑊_𝑇  . 𝐵_𝐶)/(2 . 𝐴)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19050</xdr:colOff>
      <xdr:row>285</xdr:row>
      <xdr:rowOff>104775</xdr:rowOff>
    </xdr:from>
    <xdr:ext cx="2254014" cy="3732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0000000-0008-0000-0B00-000005000000}"/>
                </a:ext>
              </a:extLst>
            </xdr:cNvPr>
            <xdr:cNvSpPr txBox="1"/>
          </xdr:nvSpPr>
          <xdr:spPr>
            <a:xfrm>
              <a:off x="3305175" y="360045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𝛾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. 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𝑑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𝑉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+mn-ea"/>
                      </a:rPr>
                      <m:t>≤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𝑎𝑑𝑚</m:t>
                        </m:r>
                      </m:sub>
                    </m:sSub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155D431C-54EE-4D67-A648-143EFD7B9016}"/>
                </a:ext>
              </a:extLst>
            </xdr:cNvPr>
            <xdr:cNvSpPr txBox="1"/>
          </xdr:nvSpPr>
          <xdr:spPr>
            <a:xfrm>
              <a:off x="3305175" y="360045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_𝑊. ℎ_𝑊+(𝑅_𝑊.𝑊_𝑑)/𝐷+𝑊_𝑉/𝐷</a:t>
              </a:r>
              <a:r>
                <a:rPr lang="es-CO" sz="1300" b="0" i="0">
                  <a:latin typeface="Cambria Math" panose="02040503050406030204" pitchFamily="18" charset="0"/>
                  <a:ea typeface="+mn-ea"/>
                </a:rPr>
                <a:t>≤𝑞_𝑎𝑑𝑚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371475</xdr:colOff>
      <xdr:row>81</xdr:row>
      <xdr:rowOff>104775</xdr:rowOff>
    </xdr:from>
    <xdr:ext cx="1083053" cy="35041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00000000-0008-0000-0B00-000006000000}"/>
                </a:ext>
              </a:extLst>
            </xdr:cNvPr>
            <xdr:cNvSpPr txBox="1"/>
          </xdr:nvSpPr>
          <xdr:spPr>
            <a:xfrm>
              <a:off x="3657600" y="109061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V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lf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S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sub>
                        </m:sSub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A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LL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8A812951-293A-41BD-9AF2-71D09CDA9745}"/>
                </a:ext>
              </a:extLst>
            </xdr:cNvPr>
            <xdr:cNvSpPr txBox="1"/>
          </xdr:nvSpPr>
          <xdr:spPr>
            <a:xfrm>
              <a:off x="3657600" y="109061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W_V=(W . lf . L . S_L)/(L_e  . A_LL 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447675</xdr:colOff>
      <xdr:row>86</xdr:row>
      <xdr:rowOff>9525</xdr:rowOff>
    </xdr:from>
    <xdr:ext cx="24987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0000000-0008-0000-0B00-000007000000}"/>
                </a:ext>
              </a:extLst>
            </xdr:cNvPr>
            <xdr:cNvSpPr txBox="1"/>
          </xdr:nvSpPr>
          <xdr:spPr>
            <a:xfrm>
              <a:off x="2924175" y="115633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A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0.25+1.75.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H</m:t>
                        </m:r>
                      </m:e>
                    </m:d>
                    <m:r>
                      <a:rPr lang="es-CO" sz="1100" b="0" i="0">
                        <a:latin typeface="Cambria Math" panose="02040503050406030204" pitchFamily="18" charset="0"/>
                      </a:rPr>
                      <m:t>∗(0.50+1.75.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DF169CB8-B7B8-4B42-99E5-F84B0DD85B77}"/>
                </a:ext>
              </a:extLst>
            </xdr:cNvPr>
            <xdr:cNvSpPr txBox="1"/>
          </xdr:nvSpPr>
          <xdr:spPr>
            <a:xfrm>
              <a:off x="2924175" y="115633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A_LL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(0.25+1.75.H)∗(0.50+1.75.H)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87</xdr:row>
      <xdr:rowOff>66675</xdr:rowOff>
    </xdr:from>
    <xdr:ext cx="10570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0000000-0008-0000-0B00-000008000000}"/>
                </a:ext>
              </a:extLst>
            </xdr:cNvPr>
            <xdr:cNvSpPr txBox="1"/>
          </xdr:nvSpPr>
          <xdr:spPr>
            <a:xfrm>
              <a:off x="3124200" y="118300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0.5+1.75.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4A141ACA-DA46-4760-BD79-D69965329D8A}"/>
                </a:ext>
              </a:extLst>
            </xdr:cNvPr>
            <xdr:cNvSpPr txBox="1"/>
          </xdr:nvSpPr>
          <xdr:spPr>
            <a:xfrm>
              <a:off x="3124200" y="118300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0.5+1.75.H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600075</xdr:colOff>
      <xdr:row>88</xdr:row>
      <xdr:rowOff>104775</xdr:rowOff>
    </xdr:from>
    <xdr:ext cx="114396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0000000-0008-0000-0B00-000009000000}"/>
                </a:ext>
              </a:extLst>
            </xdr:cNvPr>
            <xdr:cNvSpPr txBox="1"/>
          </xdr:nvSpPr>
          <xdr:spPr>
            <a:xfrm>
              <a:off x="3076575" y="121062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S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0.25+1.75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64F878FD-CCFB-4541-BE07-1510FA09BD68}"/>
                </a:ext>
              </a:extLst>
            </xdr:cNvPr>
            <xdr:cNvSpPr txBox="1"/>
          </xdr:nvSpPr>
          <xdr:spPr>
            <a:xfrm>
              <a:off x="3076575" y="121062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S_L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0.25+1.75H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581025</xdr:colOff>
      <xdr:row>89</xdr:row>
      <xdr:rowOff>114300</xdr:rowOff>
    </xdr:from>
    <xdr:ext cx="1332994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0000000-0008-0000-0B00-00000A000000}"/>
                </a:ext>
              </a:extLst>
            </xdr:cNvPr>
            <xdr:cNvSpPr txBox="1"/>
          </xdr:nvSpPr>
          <xdr:spPr>
            <a:xfrm>
              <a:off x="3057525" y="123539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e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+1.75 . 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3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Bc</m:t>
                            </m:r>
                          </m:num>
                          <m:den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4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8EA5F0E-5547-42CE-B8C9-B378B41F99AA}"/>
                </a:ext>
              </a:extLst>
            </xdr:cNvPr>
            <xdr:cNvSpPr txBox="1"/>
          </xdr:nvSpPr>
          <xdr:spPr>
            <a:xfrm>
              <a:off x="3057525" y="123539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L_e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L+1.75 . (3Bc/4)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495300</xdr:colOff>
      <xdr:row>11</xdr:row>
      <xdr:rowOff>0</xdr:rowOff>
    </xdr:from>
    <xdr:ext cx="1373838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0000000-0008-0000-0B00-00000B000000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d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 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Bd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EA99338B-4A8E-4776-A90F-6100947FD388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W_d=C_d 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Bd^2  .  </a:t>
              </a:r>
              <a:r>
                <a:rPr lang="es-CO" sz="1100" b="0" i="0">
                  <a:latin typeface="Cambria Math" panose="02040503050406030204" pitchFamily="18" charset="0"/>
                </a:rPr>
                <a:t> Bc/Bd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704850</xdr:colOff>
      <xdr:row>14</xdr:row>
      <xdr:rowOff>133350</xdr:rowOff>
    </xdr:from>
    <xdr:ext cx="1123577" cy="4494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00000000-0008-0000-0B00-00000C000000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e>
                          <m:sup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−2.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m:rPr>
                                <m:sty m:val="p"/>
                              </m:rPr>
                              <a:rPr lang="el-G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μ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Hc</m:t>
                                </m:r>
                              </m:num>
                              <m:den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Bd</m:t>
                                </m:r>
                              </m:den>
                            </m:f>
                          </m:sup>
                        </m:sSup>
                      </m:num>
                      <m:den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k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l-G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μ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89C19D23-2FFB-466E-B881-EFA30FB92CF8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C_d=(1−e^(−2.k.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.</a:t>
              </a:r>
              <a:r>
                <a:rPr lang="es-CO" sz="1100" b="0" i="0">
                  <a:latin typeface="Cambria Math" panose="02040503050406030204" pitchFamily="18" charset="0"/>
                </a:rPr>
                <a:t>.Hc/Bd))/(2 . k .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18</xdr:row>
      <xdr:rowOff>85725</xdr:rowOff>
    </xdr:from>
    <xdr:ext cx="1159420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0000000-0008-0000-0B00-00000D000000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k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tan</m:t>
                        </m:r>
                      </m:e>
                      <m:sup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45−</m:t>
                        </m:r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𝜙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B3E097E9-8536-4052-93B0-E66164BF1AFA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k=tan^2 (45−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𝜙/2)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5</xdr:col>
      <xdr:colOff>142875</xdr:colOff>
      <xdr:row>21</xdr:row>
      <xdr:rowOff>142875</xdr:rowOff>
    </xdr:from>
    <xdr:ext cx="60721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00000000-0008-0000-0B00-00000E000000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l-G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μ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𝑡𝑎𝑛</m:t>
                    </m:r>
                    <m:r>
                      <a:rPr lang="es-CO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𝜙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5125CDCF-9431-458A-B9F2-DC37677034C1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</a:rPr>
                <a:t>=𝑡𝑎𝑛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504825</xdr:colOff>
      <xdr:row>26</xdr:row>
      <xdr:rowOff>85725</xdr:rowOff>
    </xdr:from>
    <xdr:ext cx="1064972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0000000-0008-0000-0B00-00000F000000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c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B2317ABD-2BB3-41B0-A5A0-D4FF2256B2E6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W_d=Cc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Bc^2  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752475</xdr:colOff>
      <xdr:row>31</xdr:row>
      <xdr:rowOff>47625</xdr:rowOff>
    </xdr:from>
    <xdr:ext cx="54726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00000000-0008-0000-0B00-000010000000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Bc</m:t>
                        </m:r>
                      </m:den>
                    </m:f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63E6AA51-EE02-45DF-BF0E-9B47D66D6665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Cc=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Hc/Bc  </a:t>
              </a:r>
              <a:endParaRPr lang="es-CO" sz="1100" b="0" i="0"/>
            </a:p>
          </xdr:txBody>
        </xdr:sp>
      </mc:Fallback>
    </mc:AlternateContent>
    <xdr:clientData/>
  </xdr:oneCellAnchor>
  <xdr:twoCellAnchor editAs="oneCell">
    <xdr:from>
      <xdr:col>4</xdr:col>
      <xdr:colOff>238125</xdr:colOff>
      <xdr:row>433</xdr:row>
      <xdr:rowOff>9525</xdr:rowOff>
    </xdr:from>
    <xdr:to>
      <xdr:col>9</xdr:col>
      <xdr:colOff>485775</xdr:colOff>
      <xdr:row>454</xdr:row>
      <xdr:rowOff>55110</xdr:rowOff>
    </xdr:to>
    <xdr:pic>
      <xdr:nvPicPr>
        <xdr:cNvPr id="26" name="Imagen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4625" y="68999100"/>
          <a:ext cx="4495800" cy="324598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117443</xdr:colOff>
      <xdr:row>76</xdr:row>
      <xdr:rowOff>27463</xdr:rowOff>
    </xdr:from>
    <xdr:ext cx="1764073" cy="46467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0000000-0008-0000-0C00-000002000000}"/>
                </a:ext>
              </a:extLst>
            </xdr:cNvPr>
            <xdr:cNvSpPr txBox="1"/>
          </xdr:nvSpPr>
          <xdr:spPr>
            <a:xfrm>
              <a:off x="3403568" y="237542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𝑦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𝐵𝑐</m:t>
                        </m:r>
                      </m:den>
                    </m:f>
                    <m:r>
                      <a:rPr lang="es-CO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sub>
                        </m:sSub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𝐾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num>
                      <m:den>
                        <m:f>
                          <m:fPr>
                            <m:ctrlPr>
                              <a:rPr lang="es-CO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8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𝐸𝐼</m:t>
                            </m:r>
                          </m:num>
                          <m:den>
                            <m:sSup>
                              <m:sSupPr>
                                <m:ctrlPr>
                                  <a:rPr lang="es-CO" sz="110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𝐵𝑐</m:t>
                                </m:r>
                              </m:e>
                              <m:sup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p>
                            </m:sSup>
                          </m:den>
                        </m:f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+0.061 .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′</m:t>
                        </m:r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.100%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204B07E-0D6D-4F42-A353-654CA9A8EAE5}"/>
                </a:ext>
              </a:extLst>
            </xdr:cNvPr>
            <xdr:cNvSpPr txBox="1"/>
          </xdr:nvSpPr>
          <xdr:spPr>
            <a:xfrm>
              <a:off x="3403568" y="237542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𝑦/</a:t>
              </a:r>
              <a:r>
                <a:rPr lang="es-CO" sz="1100" b="0" i="0">
                  <a:latin typeface="Cambria Math" panose="02040503050406030204" pitchFamily="18" charset="0"/>
                </a:rPr>
                <a:t>𝐵𝑐</a:t>
              </a:r>
              <a:r>
                <a:rPr lang="es-CO" sz="1100" i="0">
                  <a:latin typeface="Cambria Math" panose="02040503050406030204" pitchFamily="18" charset="0"/>
                </a:rPr>
                <a:t>=(</a:t>
              </a:r>
              <a:r>
                <a:rPr lang="es-CO" sz="1100" b="0" i="0">
                  <a:latin typeface="Cambria Math" panose="02040503050406030204" pitchFamily="18" charset="0"/>
                </a:rPr>
                <a:t>𝐷_𝐿  . 𝐾 . 𝑊)/(8𝐸𝐼/〖𝐵𝑐〗^3 +0.061 .𝐸′).100%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171450</xdr:colOff>
      <xdr:row>118</xdr:row>
      <xdr:rowOff>114300</xdr:rowOff>
    </xdr:from>
    <xdr:ext cx="2151166" cy="48891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0C00-000003000000}"/>
                </a:ext>
              </a:extLst>
            </xdr:cNvPr>
            <xdr:cNvSpPr txBox="1"/>
          </xdr:nvSpPr>
          <xdr:spPr>
            <a:xfrm>
              <a:off x="3457575" y="361950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𝐹𝑆</m:t>
                        </m:r>
                      </m:den>
                    </m:f>
                    <m:sSup>
                      <m:sSup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32 . </m:t>
                            </m:r>
                            <m:sSub>
                              <m:sSub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𝑊</m:t>
                                </m:r>
                              </m:sub>
                            </m:s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 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𝐵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f>
                              <m:f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𝐸𝐼</m:t>
                                </m:r>
                              </m:num>
                              <m:den>
                                <m:sSup>
                                  <m:sSupPr>
                                    <m:ctrlP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𝐷</m:t>
                                    </m:r>
                                  </m:e>
                                  <m:sup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3</m:t>
                                    </m:r>
                                  </m:sup>
                                </m:sSup>
                              </m:den>
                            </m:f>
                          </m:e>
                        </m:d>
                      </m:e>
                      <m:sup>
                        <m:f>
                          <m:f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9DCD058C-D753-404D-9878-45E8C79E79B5}"/>
                </a:ext>
              </a:extLst>
            </xdr:cNvPr>
            <xdr:cNvSpPr txBox="1"/>
          </xdr:nvSpPr>
          <xdr:spPr>
            <a:xfrm>
              <a:off x="3457575" y="361950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b="0" i="0">
                  <a:latin typeface="Cambria Math" panose="02040503050406030204" pitchFamily="18" charset="0"/>
                </a:rPr>
                <a:t>𝑞_𝑎</a:t>
              </a:r>
              <a:r>
                <a:rPr lang="es-CO" sz="1300" i="0">
                  <a:latin typeface="Cambria Math" panose="02040503050406030204" pitchFamily="18" charset="0"/>
                </a:rPr>
                <a:t>=</a:t>
              </a:r>
              <a:r>
                <a:rPr lang="es-CO" sz="1300" b="0" i="0">
                  <a:latin typeface="Cambria Math" panose="02040503050406030204" pitchFamily="18" charset="0"/>
                </a:rPr>
                <a:t>1/𝐹𝑆 (32 . 𝑅_𝑊  . 𝐵^′. 𝐸^′. 𝐸𝐼/𝐷^3 )^(1/2)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47625</xdr:colOff>
      <xdr:row>163</xdr:row>
      <xdr:rowOff>47625</xdr:rowOff>
    </xdr:from>
    <xdr:ext cx="941219" cy="37330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00000000-0008-0000-0C00-000004000000}"/>
                </a:ext>
              </a:extLst>
            </xdr:cNvPr>
            <xdr:cNvSpPr txBox="1"/>
          </xdr:nvSpPr>
          <xdr:spPr>
            <a:xfrm>
              <a:off x="3333750" y="536543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𝐶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𝐴</m:t>
                        </m:r>
                      </m:den>
                    </m:f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79537290-1194-4F3D-941B-ADA3D7D5AD05}"/>
                </a:ext>
              </a:extLst>
            </xdr:cNvPr>
            <xdr:cNvSpPr txBox="1"/>
          </xdr:nvSpPr>
          <xdr:spPr>
            <a:xfrm>
              <a:off x="3333750" y="536543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𝜎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_𝐶</a:t>
              </a:r>
              <a:r>
                <a:rPr lang="es-CO" sz="1300" i="0">
                  <a:latin typeface="Cambria Math" panose="02040503050406030204" pitchFamily="18" charset="0"/>
                </a:rPr>
                <a:t>=(</a:t>
              </a:r>
              <a:r>
                <a:rPr lang="es-CO" sz="1300" b="0" i="0">
                  <a:latin typeface="Cambria Math" panose="02040503050406030204" pitchFamily="18" charset="0"/>
                </a:rPr>
                <a:t>𝑊_𝑇  . 𝐵_𝐶)/(2 . 𝐴)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19050</xdr:colOff>
      <xdr:row>148</xdr:row>
      <xdr:rowOff>104775</xdr:rowOff>
    </xdr:from>
    <xdr:ext cx="2254014" cy="3732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0000000-0008-0000-0C00-000005000000}"/>
                </a:ext>
              </a:extLst>
            </xdr:cNvPr>
            <xdr:cNvSpPr txBox="1"/>
          </xdr:nvSpPr>
          <xdr:spPr>
            <a:xfrm>
              <a:off x="3305175" y="460629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𝛾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. 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𝑑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𝑉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+mn-ea"/>
                      </a:rPr>
                      <m:t>≤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𝑎𝑑𝑚</m:t>
                        </m:r>
                      </m:sub>
                    </m:sSub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AA1A2B9-0E26-447A-80EC-9CFB3B7558E3}"/>
                </a:ext>
              </a:extLst>
            </xdr:cNvPr>
            <xdr:cNvSpPr txBox="1"/>
          </xdr:nvSpPr>
          <xdr:spPr>
            <a:xfrm>
              <a:off x="3305175" y="460629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_𝑊. ℎ_𝑊+(𝑅_𝑊.𝑊_𝑑)/𝐷+𝑊_𝑉/𝐷</a:t>
              </a:r>
              <a:r>
                <a:rPr lang="es-CO" sz="1300" b="0" i="0">
                  <a:latin typeface="Cambria Math" panose="02040503050406030204" pitchFamily="18" charset="0"/>
                  <a:ea typeface="+mn-ea"/>
                </a:rPr>
                <a:t>≤𝑞_𝑎𝑑𝑚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371475</xdr:colOff>
      <xdr:row>46</xdr:row>
      <xdr:rowOff>104775</xdr:rowOff>
    </xdr:from>
    <xdr:ext cx="1083053" cy="35041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00000000-0008-0000-0C00-000006000000}"/>
                </a:ext>
              </a:extLst>
            </xdr:cNvPr>
            <xdr:cNvSpPr txBox="1"/>
          </xdr:nvSpPr>
          <xdr:spPr>
            <a:xfrm>
              <a:off x="3657600" y="136493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V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lf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S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sub>
                        </m:sSub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A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LL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DE8E15CE-12F7-49BB-814B-FC59A6B30CDA}"/>
                </a:ext>
              </a:extLst>
            </xdr:cNvPr>
            <xdr:cNvSpPr txBox="1"/>
          </xdr:nvSpPr>
          <xdr:spPr>
            <a:xfrm>
              <a:off x="3657600" y="136493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W_V=(W . lf . L . S_L)/(L_e  . A_LL 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447675</xdr:colOff>
      <xdr:row>51</xdr:row>
      <xdr:rowOff>9525</xdr:rowOff>
    </xdr:from>
    <xdr:ext cx="24987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0000000-0008-0000-0C00-000007000000}"/>
                </a:ext>
              </a:extLst>
            </xdr:cNvPr>
            <xdr:cNvSpPr txBox="1"/>
          </xdr:nvSpPr>
          <xdr:spPr>
            <a:xfrm>
              <a:off x="2924175" y="143065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A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0.25+1.75.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H</m:t>
                        </m:r>
                      </m:e>
                    </m:d>
                    <m:r>
                      <a:rPr lang="es-CO" sz="1100" b="0" i="0">
                        <a:latin typeface="Cambria Math" panose="02040503050406030204" pitchFamily="18" charset="0"/>
                      </a:rPr>
                      <m:t>∗(0.50+1.75.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4A3C62F3-8BEB-474C-A263-59E6FC5F00AD}"/>
                </a:ext>
              </a:extLst>
            </xdr:cNvPr>
            <xdr:cNvSpPr txBox="1"/>
          </xdr:nvSpPr>
          <xdr:spPr>
            <a:xfrm>
              <a:off x="2924175" y="143065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A_LL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(0.25+1.75.H)∗(0.50+1.75.H)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52</xdr:row>
      <xdr:rowOff>66675</xdr:rowOff>
    </xdr:from>
    <xdr:ext cx="10570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0000000-0008-0000-0C00-000008000000}"/>
                </a:ext>
              </a:extLst>
            </xdr:cNvPr>
            <xdr:cNvSpPr txBox="1"/>
          </xdr:nvSpPr>
          <xdr:spPr>
            <a:xfrm>
              <a:off x="3124200" y="145732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0.5+1.75.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5BE04FC2-D778-4CC0-A645-FEF548AFA313}"/>
                </a:ext>
              </a:extLst>
            </xdr:cNvPr>
            <xdr:cNvSpPr txBox="1"/>
          </xdr:nvSpPr>
          <xdr:spPr>
            <a:xfrm>
              <a:off x="3124200" y="145732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0.5+1.75.H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600075</xdr:colOff>
      <xdr:row>53</xdr:row>
      <xdr:rowOff>104775</xdr:rowOff>
    </xdr:from>
    <xdr:ext cx="114396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0000000-0008-0000-0C00-000009000000}"/>
                </a:ext>
              </a:extLst>
            </xdr:cNvPr>
            <xdr:cNvSpPr txBox="1"/>
          </xdr:nvSpPr>
          <xdr:spPr>
            <a:xfrm>
              <a:off x="3076575" y="148494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S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0.25+1.75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F72CD74C-C6E9-49D9-B150-BD406647001A}"/>
                </a:ext>
              </a:extLst>
            </xdr:cNvPr>
            <xdr:cNvSpPr txBox="1"/>
          </xdr:nvSpPr>
          <xdr:spPr>
            <a:xfrm>
              <a:off x="3076575" y="148494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S_L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0.25+1.75H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581025</xdr:colOff>
      <xdr:row>54</xdr:row>
      <xdr:rowOff>114300</xdr:rowOff>
    </xdr:from>
    <xdr:ext cx="1332994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0000000-0008-0000-0C00-00000A000000}"/>
                </a:ext>
              </a:extLst>
            </xdr:cNvPr>
            <xdr:cNvSpPr txBox="1"/>
          </xdr:nvSpPr>
          <xdr:spPr>
            <a:xfrm>
              <a:off x="3057525" y="150971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e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+1.75 . 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3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Bc</m:t>
                            </m:r>
                          </m:num>
                          <m:den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4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2E1EC1EA-F112-46A3-96A0-9EED0359F265}"/>
                </a:ext>
              </a:extLst>
            </xdr:cNvPr>
            <xdr:cNvSpPr txBox="1"/>
          </xdr:nvSpPr>
          <xdr:spPr>
            <a:xfrm>
              <a:off x="3057525" y="150971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L_e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L+1.75 . (3Bc/4)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495300</xdr:colOff>
      <xdr:row>10</xdr:row>
      <xdr:rowOff>0</xdr:rowOff>
    </xdr:from>
    <xdr:ext cx="1373838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0000000-0008-0000-0C00-00000B000000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d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 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Bd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695FC556-B057-4AD0-8AA3-55B3B0EE4610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W_d=C_d 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Bd^2  .  </a:t>
              </a:r>
              <a:r>
                <a:rPr lang="es-CO" sz="1100" b="0" i="0">
                  <a:latin typeface="Cambria Math" panose="02040503050406030204" pitchFamily="18" charset="0"/>
                </a:rPr>
                <a:t> Bc/Bd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704850</xdr:colOff>
      <xdr:row>13</xdr:row>
      <xdr:rowOff>133350</xdr:rowOff>
    </xdr:from>
    <xdr:ext cx="1123577" cy="4494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00000000-0008-0000-0C00-00000C000000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e>
                          <m:sup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−2.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m:rPr>
                                <m:sty m:val="p"/>
                              </m:rPr>
                              <a:rPr lang="el-G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μ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Hc</m:t>
                                </m:r>
                              </m:num>
                              <m:den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Bd</m:t>
                                </m:r>
                              </m:den>
                            </m:f>
                          </m:sup>
                        </m:sSup>
                      </m:num>
                      <m:den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k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l-G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μ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7B0B3AF8-DC8D-464B-8D78-E5F3642413CE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C_d=(1−e^(−2.k.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.</a:t>
              </a:r>
              <a:r>
                <a:rPr lang="es-CO" sz="1100" b="0" i="0">
                  <a:latin typeface="Cambria Math" panose="02040503050406030204" pitchFamily="18" charset="0"/>
                </a:rPr>
                <a:t>.Hc/Bd))/(2 . k .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17</xdr:row>
      <xdr:rowOff>85725</xdr:rowOff>
    </xdr:from>
    <xdr:ext cx="1159420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0000000-0008-0000-0C00-00000D000000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k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tan</m:t>
                        </m:r>
                      </m:e>
                      <m:sup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45−</m:t>
                        </m:r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𝜙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962921BE-EA56-4F22-BC64-25C68B1EC4C4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k=tan^2 (45−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𝜙/2)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5</xdr:col>
      <xdr:colOff>142875</xdr:colOff>
      <xdr:row>20</xdr:row>
      <xdr:rowOff>142875</xdr:rowOff>
    </xdr:from>
    <xdr:ext cx="60721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00000000-0008-0000-0C00-00000E000000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l-G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μ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𝑡𝑎𝑛</m:t>
                    </m:r>
                    <m:r>
                      <a:rPr lang="es-CO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𝜙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2B6E8DB5-8B30-460B-AD71-9A1A99C76DC4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</a:rPr>
                <a:t>=𝑡𝑎𝑛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504825</xdr:colOff>
      <xdr:row>25</xdr:row>
      <xdr:rowOff>85725</xdr:rowOff>
    </xdr:from>
    <xdr:ext cx="1064972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0000000-0008-0000-0C00-00000F000000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c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DE7E4314-8386-4F2F-B90C-AF3698324B7F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W_d=Cc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Bc^2  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752475</xdr:colOff>
      <xdr:row>30</xdr:row>
      <xdr:rowOff>47625</xdr:rowOff>
    </xdr:from>
    <xdr:ext cx="54726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00000000-0008-0000-0C00-000010000000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Bc</m:t>
                        </m:r>
                      </m:den>
                    </m:f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B3AF9E90-B601-471A-9BEA-32CF0F2FE756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Cc=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Hc/Bc  </a:t>
              </a:r>
              <a:endParaRPr lang="es-CO" sz="1100" b="0" i="0"/>
            </a:p>
          </xdr:txBody>
        </xdr:sp>
      </mc:Fallback>
    </mc:AlternateContent>
    <xdr:clientData/>
  </xdr:oneCellAnchor>
  <xdr:twoCellAnchor editAs="oneCell">
    <xdr:from>
      <xdr:col>4</xdr:col>
      <xdr:colOff>238125</xdr:colOff>
      <xdr:row>194</xdr:row>
      <xdr:rowOff>9525</xdr:rowOff>
    </xdr:from>
    <xdr:to>
      <xdr:col>9</xdr:col>
      <xdr:colOff>364067</xdr:colOff>
      <xdr:row>215</xdr:row>
      <xdr:rowOff>55110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4625" y="68999100"/>
          <a:ext cx="4495800" cy="324598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117443</xdr:colOff>
      <xdr:row>76</xdr:row>
      <xdr:rowOff>27463</xdr:rowOff>
    </xdr:from>
    <xdr:ext cx="1764073" cy="46467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0000000-0008-0000-0D00-000002000000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𝑦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𝐵𝑐</m:t>
                        </m:r>
                      </m:den>
                    </m:f>
                    <m:r>
                      <a:rPr lang="es-CO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sub>
                        </m:sSub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𝐾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num>
                      <m:den>
                        <m:f>
                          <m:fPr>
                            <m:ctrlPr>
                              <a:rPr lang="es-CO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8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𝐸𝐼</m:t>
                            </m:r>
                          </m:num>
                          <m:den>
                            <m:sSup>
                              <m:sSupPr>
                                <m:ctrlPr>
                                  <a:rPr lang="es-CO" sz="110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𝐵𝑐</m:t>
                                </m:r>
                              </m:e>
                              <m:sup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p>
                            </m:sSup>
                          </m:den>
                        </m:f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+0.061 .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′</m:t>
                        </m:r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.100%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17DE61DC-CBA6-4CB3-9635-489CB274A207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𝑦/</a:t>
              </a:r>
              <a:r>
                <a:rPr lang="es-CO" sz="1100" b="0" i="0">
                  <a:latin typeface="Cambria Math" panose="02040503050406030204" pitchFamily="18" charset="0"/>
                </a:rPr>
                <a:t>𝐵𝑐</a:t>
              </a:r>
              <a:r>
                <a:rPr lang="es-CO" sz="1100" i="0">
                  <a:latin typeface="Cambria Math" panose="02040503050406030204" pitchFamily="18" charset="0"/>
                </a:rPr>
                <a:t>=(</a:t>
              </a:r>
              <a:r>
                <a:rPr lang="es-CO" sz="1100" b="0" i="0">
                  <a:latin typeface="Cambria Math" panose="02040503050406030204" pitchFamily="18" charset="0"/>
                </a:rPr>
                <a:t>𝐷_𝐿  . 𝐾 . 𝑊)/(8𝐸𝐼/〖𝐵𝑐〗^3 +0.061 .𝐸′).100%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171450</xdr:colOff>
      <xdr:row>118</xdr:row>
      <xdr:rowOff>114300</xdr:rowOff>
    </xdr:from>
    <xdr:ext cx="2151166" cy="48891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0D00-000003000000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𝐹𝑆</m:t>
                        </m:r>
                      </m:den>
                    </m:f>
                    <m:sSup>
                      <m:sSup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32 . </m:t>
                            </m:r>
                            <m:sSub>
                              <m:sSub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𝑊</m:t>
                                </m:r>
                              </m:sub>
                            </m:s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 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𝐵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f>
                              <m:f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𝐸𝐼</m:t>
                                </m:r>
                              </m:num>
                              <m:den>
                                <m:sSup>
                                  <m:sSupPr>
                                    <m:ctrlP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𝐷</m:t>
                                    </m:r>
                                  </m:e>
                                  <m:sup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3</m:t>
                                    </m:r>
                                  </m:sup>
                                </m:sSup>
                              </m:den>
                            </m:f>
                          </m:e>
                        </m:d>
                      </m:e>
                      <m:sup>
                        <m:f>
                          <m:f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68EB305D-A8C6-4E0D-9652-45A86790A664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b="0" i="0">
                  <a:latin typeface="Cambria Math" panose="02040503050406030204" pitchFamily="18" charset="0"/>
                </a:rPr>
                <a:t>𝑞_𝑎</a:t>
              </a:r>
              <a:r>
                <a:rPr lang="es-CO" sz="1300" i="0">
                  <a:latin typeface="Cambria Math" panose="02040503050406030204" pitchFamily="18" charset="0"/>
                </a:rPr>
                <a:t>=</a:t>
              </a:r>
              <a:r>
                <a:rPr lang="es-CO" sz="1300" b="0" i="0">
                  <a:latin typeface="Cambria Math" panose="02040503050406030204" pitchFamily="18" charset="0"/>
                </a:rPr>
                <a:t>1/𝐹𝑆 (32 . 𝑅_𝑊  . 𝐵^′. 𝐸^′. 𝐸𝐼/𝐷^3 )^(1/2)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47625</xdr:colOff>
      <xdr:row>163</xdr:row>
      <xdr:rowOff>47625</xdr:rowOff>
    </xdr:from>
    <xdr:ext cx="941219" cy="37330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00000000-0008-0000-0D00-000004000000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𝐶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𝐴</m:t>
                        </m:r>
                      </m:den>
                    </m:f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DBAE66F3-F395-45ED-BE5F-46DE135FBD26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𝜎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_𝐶</a:t>
              </a:r>
              <a:r>
                <a:rPr lang="es-CO" sz="1300" i="0">
                  <a:latin typeface="Cambria Math" panose="02040503050406030204" pitchFamily="18" charset="0"/>
                </a:rPr>
                <a:t>=(</a:t>
              </a:r>
              <a:r>
                <a:rPr lang="es-CO" sz="1300" b="0" i="0">
                  <a:latin typeface="Cambria Math" panose="02040503050406030204" pitchFamily="18" charset="0"/>
                </a:rPr>
                <a:t>𝑊_𝑇  . 𝐵_𝐶)/(2 . 𝐴)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19050</xdr:colOff>
      <xdr:row>148</xdr:row>
      <xdr:rowOff>104775</xdr:rowOff>
    </xdr:from>
    <xdr:ext cx="2254014" cy="3732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0000000-0008-0000-0D00-000005000000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𝛾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. 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𝑑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𝑉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+mn-ea"/>
                      </a:rPr>
                      <m:t>≤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𝑎𝑑𝑚</m:t>
                        </m:r>
                      </m:sub>
                    </m:sSub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CFF61AAD-C088-4896-B950-2F3E42206FBD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_𝑊. ℎ_𝑊+(𝑅_𝑊.𝑊_𝑑)/𝐷+𝑊_𝑉/𝐷</a:t>
              </a:r>
              <a:r>
                <a:rPr lang="es-CO" sz="1300" b="0" i="0">
                  <a:latin typeface="Cambria Math" panose="02040503050406030204" pitchFamily="18" charset="0"/>
                  <a:ea typeface="+mn-ea"/>
                </a:rPr>
                <a:t>≤𝑞_𝑎𝑑𝑚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371475</xdr:colOff>
      <xdr:row>46</xdr:row>
      <xdr:rowOff>104775</xdr:rowOff>
    </xdr:from>
    <xdr:ext cx="1083053" cy="35041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00000000-0008-0000-0D00-000006000000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V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lf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S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sub>
                        </m:sSub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A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LL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8C31B34C-D544-463A-8CBC-EC1F47403E23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W_V=(W . lf . L . S_L)/(L_e  . A_LL 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447675</xdr:colOff>
      <xdr:row>51</xdr:row>
      <xdr:rowOff>9525</xdr:rowOff>
    </xdr:from>
    <xdr:ext cx="24987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0000000-0008-0000-0D00-000007000000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A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0.25+1.75.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H</m:t>
                        </m:r>
                      </m:e>
                    </m:d>
                    <m:r>
                      <a:rPr lang="es-CO" sz="1100" b="0" i="0">
                        <a:latin typeface="Cambria Math" panose="02040503050406030204" pitchFamily="18" charset="0"/>
                      </a:rPr>
                      <m:t>∗(0.50+1.75.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6D064F9C-943B-4518-8A5B-D566E69FB65B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A_LL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(0.25+1.75.H)∗(0.50+1.75.H)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52</xdr:row>
      <xdr:rowOff>66675</xdr:rowOff>
    </xdr:from>
    <xdr:ext cx="10570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0000000-0008-0000-0D00-000008000000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0.5+1.75.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FFEA6D72-F598-4830-AEF9-6A37DE11FE5E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0.5+1.75.H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600075</xdr:colOff>
      <xdr:row>53</xdr:row>
      <xdr:rowOff>104775</xdr:rowOff>
    </xdr:from>
    <xdr:ext cx="114396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0000000-0008-0000-0D00-000009000000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S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0.25+1.75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780AAAA-713C-48AF-B0C4-B2EE75021E14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S_L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0.25+1.75H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581025</xdr:colOff>
      <xdr:row>54</xdr:row>
      <xdr:rowOff>114300</xdr:rowOff>
    </xdr:from>
    <xdr:ext cx="1332994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0000000-0008-0000-0D00-00000A000000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e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+1.75 . 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3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Bc</m:t>
                            </m:r>
                          </m:num>
                          <m:den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4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B0F0C45A-0EA4-416C-9C88-3813076537FC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L_e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L+1.75 . (3Bc/4)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495300</xdr:colOff>
      <xdr:row>10</xdr:row>
      <xdr:rowOff>0</xdr:rowOff>
    </xdr:from>
    <xdr:ext cx="1373838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0000000-0008-0000-0D00-00000B000000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d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 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Bd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7A7D8A8B-C7B5-46EC-A4FD-0C9DC19849AB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W_d=C_d 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Bd^2  .  </a:t>
              </a:r>
              <a:r>
                <a:rPr lang="es-CO" sz="1100" b="0" i="0">
                  <a:latin typeface="Cambria Math" panose="02040503050406030204" pitchFamily="18" charset="0"/>
                </a:rPr>
                <a:t> Bc/Bd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704850</xdr:colOff>
      <xdr:row>13</xdr:row>
      <xdr:rowOff>133350</xdr:rowOff>
    </xdr:from>
    <xdr:ext cx="1123577" cy="4494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00000000-0008-0000-0D00-00000C000000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e>
                          <m:sup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−2.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m:rPr>
                                <m:sty m:val="p"/>
                              </m:rPr>
                              <a:rPr lang="el-G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μ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Hc</m:t>
                                </m:r>
                              </m:num>
                              <m:den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Bd</m:t>
                                </m:r>
                              </m:den>
                            </m:f>
                          </m:sup>
                        </m:sSup>
                      </m:num>
                      <m:den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k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l-G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μ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AC79F30C-5D81-4884-93E8-3761E124E709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C_d=(1−e^(−2.k.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.</a:t>
              </a:r>
              <a:r>
                <a:rPr lang="es-CO" sz="1100" b="0" i="0">
                  <a:latin typeface="Cambria Math" panose="02040503050406030204" pitchFamily="18" charset="0"/>
                </a:rPr>
                <a:t>.Hc/Bd))/(2 . k .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17</xdr:row>
      <xdr:rowOff>85725</xdr:rowOff>
    </xdr:from>
    <xdr:ext cx="1159420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0000000-0008-0000-0D00-00000D000000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k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tan</m:t>
                        </m:r>
                      </m:e>
                      <m:sup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45−</m:t>
                        </m:r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𝜙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748BA95F-0ADF-4CA5-9BC4-D18C4F415D9B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k=tan^2 (45−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𝜙/2)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5</xdr:col>
      <xdr:colOff>142875</xdr:colOff>
      <xdr:row>20</xdr:row>
      <xdr:rowOff>142875</xdr:rowOff>
    </xdr:from>
    <xdr:ext cx="60721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00000000-0008-0000-0D00-00000E000000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l-G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μ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𝑡𝑎𝑛</m:t>
                    </m:r>
                    <m:r>
                      <a:rPr lang="es-CO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𝜙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AC1BFD96-8F78-412C-8AA7-F121955A818F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</a:rPr>
                <a:t>=𝑡𝑎𝑛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504825</xdr:colOff>
      <xdr:row>25</xdr:row>
      <xdr:rowOff>85725</xdr:rowOff>
    </xdr:from>
    <xdr:ext cx="1064972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0000000-0008-0000-0D00-00000F000000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c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7254F280-2C38-49CF-AA9C-10B93382D5E0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W_d=Cc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Bc^2  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752475</xdr:colOff>
      <xdr:row>30</xdr:row>
      <xdr:rowOff>47625</xdr:rowOff>
    </xdr:from>
    <xdr:ext cx="54726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00000000-0008-0000-0D00-000010000000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Bc</m:t>
                        </m:r>
                      </m:den>
                    </m:f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CF9734F7-52E1-44BB-A8FF-D6FA203D5303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Cc=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Hc/Bc  </a:t>
              </a:r>
              <a:endParaRPr lang="es-CO" sz="1100" b="0" i="0"/>
            </a:p>
          </xdr:txBody>
        </xdr:sp>
      </mc:Fallback>
    </mc:AlternateContent>
    <xdr:clientData/>
  </xdr:oneCellAnchor>
  <xdr:twoCellAnchor editAs="oneCell">
    <xdr:from>
      <xdr:col>4</xdr:col>
      <xdr:colOff>238125</xdr:colOff>
      <xdr:row>193</xdr:row>
      <xdr:rowOff>125942</xdr:rowOff>
    </xdr:from>
    <xdr:to>
      <xdr:col>9</xdr:col>
      <xdr:colOff>455084</xdr:colOff>
      <xdr:row>214</xdr:row>
      <xdr:rowOff>110571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25208" y="31219775"/>
          <a:ext cx="4407959" cy="309612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117443</xdr:colOff>
      <xdr:row>70</xdr:row>
      <xdr:rowOff>27463</xdr:rowOff>
    </xdr:from>
    <xdr:ext cx="1764073" cy="46467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0000000-0008-0000-0E00-000002000000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𝑦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𝐵𝑐</m:t>
                        </m:r>
                      </m:den>
                    </m:f>
                    <m:r>
                      <a:rPr lang="es-CO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sub>
                        </m:sSub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𝐾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num>
                      <m:den>
                        <m:f>
                          <m:fPr>
                            <m:ctrlPr>
                              <a:rPr lang="es-CO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8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𝐸𝐼</m:t>
                            </m:r>
                          </m:num>
                          <m:den>
                            <m:sSup>
                              <m:sSupPr>
                                <m:ctrlPr>
                                  <a:rPr lang="es-CO" sz="110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𝐵𝑐</m:t>
                                </m:r>
                              </m:e>
                              <m:sup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p>
                            </m:sSup>
                          </m:den>
                        </m:f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+0.061 .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′</m:t>
                        </m:r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.100%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834C9EB1-2B7E-4D8C-A0FE-90EF142823E1}"/>
                </a:ext>
              </a:extLst>
            </xdr:cNvPr>
            <xdr:cNvSpPr txBox="1"/>
          </xdr:nvSpPr>
          <xdr:spPr>
            <a:xfrm>
              <a:off x="3403568" y="21353938"/>
              <a:ext cx="1764073" cy="4646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𝑦/</a:t>
              </a:r>
              <a:r>
                <a:rPr lang="es-CO" sz="1100" b="0" i="0">
                  <a:latin typeface="Cambria Math" panose="02040503050406030204" pitchFamily="18" charset="0"/>
                </a:rPr>
                <a:t>𝐵𝑐</a:t>
              </a:r>
              <a:r>
                <a:rPr lang="es-CO" sz="1100" i="0">
                  <a:latin typeface="Cambria Math" panose="02040503050406030204" pitchFamily="18" charset="0"/>
                </a:rPr>
                <a:t>=(</a:t>
              </a:r>
              <a:r>
                <a:rPr lang="es-CO" sz="1100" b="0" i="0">
                  <a:latin typeface="Cambria Math" panose="02040503050406030204" pitchFamily="18" charset="0"/>
                </a:rPr>
                <a:t>𝐷_𝐿  . 𝐾 . 𝑊)/(8𝐸𝐼/〖𝐵𝑐〗^3 +0.061 .𝐸′).100%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171450</xdr:colOff>
      <xdr:row>109</xdr:row>
      <xdr:rowOff>114300</xdr:rowOff>
    </xdr:from>
    <xdr:ext cx="2151166" cy="48891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0E00-000003000000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𝐹𝑆</m:t>
                        </m:r>
                      </m:den>
                    </m:f>
                    <m:sSup>
                      <m:sSupPr>
                        <m:ctrlPr>
                          <a:rPr lang="es-CO" sz="13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32 . </m:t>
                            </m:r>
                            <m:sSub>
                              <m:sSub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𝑊</m:t>
                                </m:r>
                              </m:sub>
                            </m:s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 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𝐵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sSup>
                              <m:sSup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  <m:sup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f>
                              <m:fPr>
                                <m:ctrlP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300" b="0" i="1">
                                    <a:latin typeface="Cambria Math" panose="02040503050406030204" pitchFamily="18" charset="0"/>
                                  </a:rPr>
                                  <m:t>𝐸𝐼</m:t>
                                </m:r>
                              </m:num>
                              <m:den>
                                <m:sSup>
                                  <m:sSupPr>
                                    <m:ctrlP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𝐷</m:t>
                                    </m:r>
                                  </m:e>
                                  <m:sup>
                                    <m:r>
                                      <a:rPr lang="es-CO" sz="1300" b="0" i="1">
                                        <a:latin typeface="Cambria Math" panose="02040503050406030204" pitchFamily="18" charset="0"/>
                                      </a:rPr>
                                      <m:t>3</m:t>
                                    </m:r>
                                  </m:sup>
                                </m:sSup>
                              </m:den>
                            </m:f>
                          </m:e>
                        </m:d>
                      </m:e>
                      <m:sup>
                        <m:f>
                          <m:f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A6A34F02-73E8-42F6-B784-47422C25429F}"/>
                </a:ext>
              </a:extLst>
            </xdr:cNvPr>
            <xdr:cNvSpPr txBox="1"/>
          </xdr:nvSpPr>
          <xdr:spPr>
            <a:xfrm>
              <a:off x="3457575" y="33794700"/>
              <a:ext cx="2151166" cy="4889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b="0" i="0">
                  <a:latin typeface="Cambria Math" panose="02040503050406030204" pitchFamily="18" charset="0"/>
                </a:rPr>
                <a:t>𝑞_𝑎</a:t>
              </a:r>
              <a:r>
                <a:rPr lang="es-CO" sz="1300" i="0">
                  <a:latin typeface="Cambria Math" panose="02040503050406030204" pitchFamily="18" charset="0"/>
                </a:rPr>
                <a:t>=</a:t>
              </a:r>
              <a:r>
                <a:rPr lang="es-CO" sz="1300" b="0" i="0">
                  <a:latin typeface="Cambria Math" panose="02040503050406030204" pitchFamily="18" charset="0"/>
                </a:rPr>
                <a:t>1/𝐹𝑆 (32 . 𝑅_𝑊  . 𝐵^′. 𝐸^′. 𝐸𝐼/𝐷^3 )^(1/2)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47625</xdr:colOff>
      <xdr:row>148</xdr:row>
      <xdr:rowOff>47625</xdr:rowOff>
    </xdr:from>
    <xdr:ext cx="941219" cy="37330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00000000-0008-0000-0E00-000004000000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𝜎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𝐶</m:t>
                        </m:r>
                      </m:sub>
                    </m:sSub>
                    <m:r>
                      <a:rPr lang="es-CO" sz="13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3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a:rPr lang="es-CO" sz="1300" b="0" i="1">
                            <a:latin typeface="Cambria Math" panose="02040503050406030204" pitchFamily="18" charset="0"/>
                          </a:rPr>
                          <m:t>𝐴</m:t>
                        </m:r>
                      </m:den>
                    </m:f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BFBB6FF8-181D-4C7C-AC81-EB9B59EDD3A2}"/>
                </a:ext>
              </a:extLst>
            </xdr:cNvPr>
            <xdr:cNvSpPr txBox="1"/>
          </xdr:nvSpPr>
          <xdr:spPr>
            <a:xfrm>
              <a:off x="3333750" y="51254025"/>
              <a:ext cx="941219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𝜎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_𝐶</a:t>
              </a:r>
              <a:r>
                <a:rPr lang="es-CO" sz="1300" i="0">
                  <a:latin typeface="Cambria Math" panose="02040503050406030204" pitchFamily="18" charset="0"/>
                </a:rPr>
                <a:t>=(</a:t>
              </a:r>
              <a:r>
                <a:rPr lang="es-CO" sz="1300" b="0" i="0">
                  <a:latin typeface="Cambria Math" panose="02040503050406030204" pitchFamily="18" charset="0"/>
                </a:rPr>
                <a:t>𝑊_𝑇  . 𝐵_𝐶)/(2 . 𝐴)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19050</xdr:colOff>
      <xdr:row>136</xdr:row>
      <xdr:rowOff>104775</xdr:rowOff>
    </xdr:from>
    <xdr:ext cx="2254014" cy="3732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0000000-0008-0000-0E00-000005000000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𝛾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. 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sub>
                        </m:sSub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.</m:t>
                        </m:r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𝑑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s-CO" sz="13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𝑉</m:t>
                            </m:r>
                          </m:sub>
                        </m:sSub>
                      </m:num>
                      <m:den>
                        <m:r>
                          <a:rPr lang="es-CO" sz="13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s-CO" sz="1300" b="0" i="1">
                        <a:latin typeface="Cambria Math" panose="02040503050406030204" pitchFamily="18" charset="0"/>
                        <a:ea typeface="+mn-ea"/>
                      </a:rPr>
                      <m:t>≤</m:t>
                    </m:r>
                    <m:sSub>
                      <m:sSubPr>
                        <m:ctrlP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</m:ctrlPr>
                      </m:sSubPr>
                      <m:e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𝑞</m:t>
                        </m:r>
                      </m:e>
                      <m:sub>
                        <m:r>
                          <a:rPr lang="es-CO" sz="1300" b="0" i="1">
                            <a:latin typeface="Cambria Math" panose="02040503050406030204" pitchFamily="18" charset="0"/>
                            <a:ea typeface="+mn-ea"/>
                          </a:rPr>
                          <m:t>𝑎𝑑𝑚</m:t>
                        </m:r>
                      </m:sub>
                    </m:sSub>
                  </m:oMath>
                </m:oMathPara>
              </a14:m>
              <a:endParaRPr lang="es-CO" sz="13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E587D37D-0A95-44EE-80F9-30BAF93498E0}"/>
                </a:ext>
              </a:extLst>
            </xdr:cNvPr>
            <xdr:cNvSpPr txBox="1"/>
          </xdr:nvSpPr>
          <xdr:spPr>
            <a:xfrm>
              <a:off x="3305175" y="43662600"/>
              <a:ext cx="2254014" cy="3732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3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</a:t>
              </a:r>
              <a:r>
                <a:rPr lang="es-CO" sz="13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_𝑊. ℎ_𝑊+(𝑅_𝑊.𝑊_𝑑)/𝐷+𝑊_𝑉/𝐷</a:t>
              </a:r>
              <a:r>
                <a:rPr lang="es-CO" sz="1300" b="0" i="0">
                  <a:latin typeface="Cambria Math" panose="02040503050406030204" pitchFamily="18" charset="0"/>
                  <a:ea typeface="+mn-ea"/>
                </a:rPr>
                <a:t>≤𝑞_𝑎𝑑𝑚</a:t>
              </a:r>
              <a:endParaRPr lang="es-CO" sz="1300"/>
            </a:p>
          </xdr:txBody>
        </xdr:sp>
      </mc:Fallback>
    </mc:AlternateContent>
    <xdr:clientData/>
  </xdr:oneCellAnchor>
  <xdr:oneCellAnchor>
    <xdr:from>
      <xdr:col>5</xdr:col>
      <xdr:colOff>371475</xdr:colOff>
      <xdr:row>43</xdr:row>
      <xdr:rowOff>104775</xdr:rowOff>
    </xdr:from>
    <xdr:ext cx="1083053" cy="35041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00000000-0008-0000-0E00-000006000000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V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lf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S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sub>
                        </m:sSub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A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LL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77587DB7-F76B-4236-A891-B1DF2CDD41F2}"/>
                </a:ext>
              </a:extLst>
            </xdr:cNvPr>
            <xdr:cNvSpPr txBox="1"/>
          </xdr:nvSpPr>
          <xdr:spPr>
            <a:xfrm>
              <a:off x="3657600" y="11249025"/>
              <a:ext cx="108305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W_V=(W . lf . L . S_L)/(L_e  . A_LL 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447675</xdr:colOff>
      <xdr:row>48</xdr:row>
      <xdr:rowOff>9525</xdr:rowOff>
    </xdr:from>
    <xdr:ext cx="24987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0000000-0008-0000-0E00-000007000000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A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0.25+1.75.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H</m:t>
                        </m:r>
                      </m:e>
                    </m:d>
                    <m:r>
                      <a:rPr lang="es-CO" sz="1100" b="0" i="0">
                        <a:latin typeface="Cambria Math" panose="02040503050406030204" pitchFamily="18" charset="0"/>
                      </a:rPr>
                      <m:t>∗(0.50+1.75.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235F7C06-2A70-45E3-9ED9-DA51421F7FF4}"/>
                </a:ext>
              </a:extLst>
            </xdr:cNvPr>
            <xdr:cNvSpPr txBox="1"/>
          </xdr:nvSpPr>
          <xdr:spPr>
            <a:xfrm>
              <a:off x="2924175" y="11906250"/>
              <a:ext cx="24987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A_LL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(0.25+1.75.H)∗(0.50+1.75.H)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49</xdr:row>
      <xdr:rowOff>66675</xdr:rowOff>
    </xdr:from>
    <xdr:ext cx="10570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0000000-0008-0000-0E00-000008000000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0.5+1.75.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93170358-158B-4B5C-9C75-4B216A6D5CF7}"/>
                </a:ext>
              </a:extLst>
            </xdr:cNvPr>
            <xdr:cNvSpPr txBox="1"/>
          </xdr:nvSpPr>
          <xdr:spPr>
            <a:xfrm>
              <a:off x="3124200" y="12172950"/>
              <a:ext cx="10570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0.5+1.75.H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600075</xdr:colOff>
      <xdr:row>50</xdr:row>
      <xdr:rowOff>104775</xdr:rowOff>
    </xdr:from>
    <xdr:ext cx="114396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0000000-0008-0000-0E00-000009000000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S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0.25+1.75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H</m:t>
                    </m:r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D1D5C7A2-FD5B-4AE9-8376-7C92566369F9}"/>
                </a:ext>
              </a:extLst>
            </xdr:cNvPr>
            <xdr:cNvSpPr txBox="1"/>
          </xdr:nvSpPr>
          <xdr:spPr>
            <a:xfrm>
              <a:off x="3076575" y="12449175"/>
              <a:ext cx="11439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S_L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0.25+1.75H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581025</xdr:colOff>
      <xdr:row>51</xdr:row>
      <xdr:rowOff>114300</xdr:rowOff>
    </xdr:from>
    <xdr:ext cx="1332994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0000000-0008-0000-0E00-00000A000000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L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e</m:t>
                        </m:r>
                      </m:sub>
                    </m:sSub>
                    <m:r>
                      <a:rPr lang="es-CO" sz="110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L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+1.75 . 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3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Bc</m:t>
                            </m:r>
                          </m:num>
                          <m:den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4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i="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7B5D34E6-5BBB-44DD-B0F7-7BC63D37400A}"/>
                </a:ext>
              </a:extLst>
            </xdr:cNvPr>
            <xdr:cNvSpPr txBox="1"/>
          </xdr:nvSpPr>
          <xdr:spPr>
            <a:xfrm>
              <a:off x="3057525" y="12696825"/>
              <a:ext cx="1332994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L_e</a:t>
              </a:r>
              <a:r>
                <a:rPr lang="es-CO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L+1.75 . (3Bc/4)</a:t>
              </a:r>
              <a:endParaRPr lang="es-CO" sz="1100" i="0"/>
            </a:p>
          </xdr:txBody>
        </xdr:sp>
      </mc:Fallback>
    </mc:AlternateContent>
    <xdr:clientData/>
  </xdr:oneCellAnchor>
  <xdr:oneCellAnchor>
    <xdr:from>
      <xdr:col>4</xdr:col>
      <xdr:colOff>495300</xdr:colOff>
      <xdr:row>10</xdr:row>
      <xdr:rowOff>0</xdr:rowOff>
    </xdr:from>
    <xdr:ext cx="1373838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0000000-0008-0000-0E00-00000B000000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d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 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Bd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A331C83D-071B-4734-A4D9-EFBC4BE07823}"/>
                </a:ext>
              </a:extLst>
            </xdr:cNvPr>
            <xdr:cNvSpPr txBox="1"/>
          </xdr:nvSpPr>
          <xdr:spPr>
            <a:xfrm>
              <a:off x="2971800" y="1714500"/>
              <a:ext cx="1373838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W_d=C_d 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Bd^2  .  </a:t>
              </a:r>
              <a:r>
                <a:rPr lang="es-CO" sz="1100" b="0" i="0">
                  <a:latin typeface="Cambria Math" panose="02040503050406030204" pitchFamily="18" charset="0"/>
                </a:rPr>
                <a:t> Bc/Bd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704850</xdr:colOff>
      <xdr:row>13</xdr:row>
      <xdr:rowOff>133350</xdr:rowOff>
    </xdr:from>
    <xdr:ext cx="1123577" cy="4494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00000000-0008-0000-0E00-00000C000000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C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e</m:t>
                            </m:r>
                          </m:e>
                          <m:sup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−2.</m:t>
                            </m:r>
                            <m:r>
                              <m:rPr>
                                <m:sty m:val="p"/>
                              </m:rPr>
                              <a:rPr lang="es-CO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m:rPr>
                                <m:sty m:val="p"/>
                              </m:rPr>
                              <a:rPr lang="el-G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μ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CO" sz="1100" b="0" i="0">
                                <a:latin typeface="Cambria Math" panose="02040503050406030204" pitchFamily="18" charset="0"/>
                              </a:rPr>
                              <m:t>.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Hc</m:t>
                                </m:r>
                              </m:num>
                              <m:den>
                                <m:r>
                                  <m:rPr>
                                    <m:sty m:val="p"/>
                                  </m:rPr>
                                  <a:rPr lang="es-CO" sz="1100" b="0" i="0">
                                    <a:latin typeface="Cambria Math" panose="02040503050406030204" pitchFamily="18" charset="0"/>
                                  </a:rPr>
                                  <m:t>Bd</m:t>
                                </m:r>
                              </m:den>
                            </m:f>
                          </m:sup>
                        </m:sSup>
                      </m:num>
                      <m:den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2 . </m:t>
                        </m:r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k</m:t>
                        </m:r>
                        <m:r>
                          <a:rPr lang="es-CO" sz="1100" b="0" i="0">
                            <a:latin typeface="Cambria Math" panose="02040503050406030204" pitchFamily="18" charset="0"/>
                          </a:rPr>
                          <m:t> . </m:t>
                        </m:r>
                        <m:r>
                          <m:rPr>
                            <m:sty m:val="p"/>
                          </m:rPr>
                          <a:rPr lang="el-G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μ</m:t>
                        </m:r>
                      </m:den>
                    </m:f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98F5B9FC-0FE4-44F3-9AF1-5D52D6352B51}"/>
                </a:ext>
              </a:extLst>
            </xdr:cNvPr>
            <xdr:cNvSpPr txBox="1"/>
          </xdr:nvSpPr>
          <xdr:spPr>
            <a:xfrm>
              <a:off x="3181350" y="2324100"/>
              <a:ext cx="1123577" cy="4494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C_d=(1−e^(−2.k.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.</a:t>
              </a:r>
              <a:r>
                <a:rPr lang="es-CO" sz="1100" b="0" i="0">
                  <a:latin typeface="Cambria Math" panose="02040503050406030204" pitchFamily="18" charset="0"/>
                </a:rPr>
                <a:t>.Hc/Bd))/(2 . k .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647700</xdr:colOff>
      <xdr:row>17</xdr:row>
      <xdr:rowOff>85725</xdr:rowOff>
    </xdr:from>
    <xdr:ext cx="1159420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0000000-0008-0000-0E00-00000D000000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k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tan</m:t>
                        </m:r>
                      </m:e>
                      <m:sup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45−</m:t>
                        </m:r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𝜙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85EBAF0C-D341-4C4B-AA25-4D5EB6E966FA}"/>
                </a:ext>
              </a:extLst>
            </xdr:cNvPr>
            <xdr:cNvSpPr txBox="1"/>
          </xdr:nvSpPr>
          <xdr:spPr>
            <a:xfrm>
              <a:off x="3124200" y="2886075"/>
              <a:ext cx="115942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k=tan^2 (45−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𝜙/2)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5</xdr:col>
      <xdr:colOff>142875</xdr:colOff>
      <xdr:row>20</xdr:row>
      <xdr:rowOff>142875</xdr:rowOff>
    </xdr:from>
    <xdr:ext cx="60721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00000000-0008-0000-0E00-00000E000000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l-G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μ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𝑡𝑎𝑛</m:t>
                    </m:r>
                    <m:r>
                      <a:rPr lang="es-CO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𝜙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54839C3D-B71E-4663-8D26-C56659C8966D}"/>
                </a:ext>
              </a:extLst>
            </xdr:cNvPr>
            <xdr:cNvSpPr txBox="1"/>
          </xdr:nvSpPr>
          <xdr:spPr>
            <a:xfrm>
              <a:off x="3429000" y="3400425"/>
              <a:ext cx="6072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μ</a:t>
              </a:r>
              <a:r>
                <a:rPr lang="es-CO" sz="1100" b="0" i="0">
                  <a:latin typeface="Cambria Math" panose="02040503050406030204" pitchFamily="18" charset="0"/>
                </a:rPr>
                <a:t>=𝑡𝑎𝑛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504825</xdr:colOff>
      <xdr:row>25</xdr:row>
      <xdr:rowOff>85725</xdr:rowOff>
    </xdr:from>
    <xdr:ext cx="1064972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0000000-0008-0000-0E00-00000F000000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</a:rPr>
                          <m:t>d</m:t>
                        </m:r>
                      </m:sub>
                    </m:sSub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 .  </m:t>
                    </m:r>
                    <m:r>
                      <m:rPr>
                        <m:sty m:val="p"/>
                      </m:rPr>
                      <a:rPr lang="el-GR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γ</m:t>
                    </m:r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. </m:t>
                    </m:r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B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c</m:t>
                        </m:r>
                      </m:e>
                      <m:sup>
                        <m: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2BA5D9C1-FFF9-4E9E-92C3-1963FA4D08E5}"/>
                </a:ext>
              </a:extLst>
            </xdr:cNvPr>
            <xdr:cNvSpPr txBox="1"/>
          </xdr:nvSpPr>
          <xdr:spPr>
            <a:xfrm>
              <a:off x="2981325" y="4048125"/>
              <a:ext cx="106497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W_d=Cc . 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γ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. Bc^2  </a:t>
              </a:r>
              <a:endParaRPr lang="es-CO" sz="1100" b="0" i="0"/>
            </a:p>
          </xdr:txBody>
        </xdr:sp>
      </mc:Fallback>
    </mc:AlternateContent>
    <xdr:clientData/>
  </xdr:oneCellAnchor>
  <xdr:oneCellAnchor>
    <xdr:from>
      <xdr:col>4</xdr:col>
      <xdr:colOff>752475</xdr:colOff>
      <xdr:row>30</xdr:row>
      <xdr:rowOff>47625</xdr:rowOff>
    </xdr:from>
    <xdr:ext cx="54726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00000000-0008-0000-0E00-000010000000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s-CO" sz="1100" b="0" i="0">
                        <a:latin typeface="Cambria Math" panose="02040503050406030204" pitchFamily="18" charset="0"/>
                      </a:rPr>
                      <m:t>Cc</m:t>
                    </m:r>
                    <m:r>
                      <a:rPr lang="es-CO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Hc</m:t>
                        </m:r>
                      </m:num>
                      <m:den>
                        <m:r>
                          <m:rPr>
                            <m:sty m:val="p"/>
                          </m:rPr>
                          <a:rPr lang="es-CO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Bc</m:t>
                        </m:r>
                      </m:den>
                    </m:f>
                    <m:r>
                      <a:rPr lang="es-CO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100" b="0" i="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BFCB923D-7796-4CF0-8D2E-0300654465DF}"/>
                </a:ext>
              </a:extLst>
            </xdr:cNvPr>
            <xdr:cNvSpPr txBox="1"/>
          </xdr:nvSpPr>
          <xdr:spPr>
            <a:xfrm>
              <a:off x="3228975" y="4772025"/>
              <a:ext cx="54726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Cc=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Hc/Bc  </a:t>
              </a:r>
              <a:endParaRPr lang="es-CO" sz="1100" b="0" i="0"/>
            </a:p>
          </xdr:txBody>
        </xdr:sp>
      </mc:Fallback>
    </mc:AlternateContent>
    <xdr:clientData/>
  </xdr:oneCellAnchor>
  <xdr:twoCellAnchor editAs="oneCell">
    <xdr:from>
      <xdr:col>4</xdr:col>
      <xdr:colOff>238125</xdr:colOff>
      <xdr:row>172</xdr:row>
      <xdr:rowOff>125942</xdr:rowOff>
    </xdr:from>
    <xdr:to>
      <xdr:col>9</xdr:col>
      <xdr:colOff>464609</xdr:colOff>
      <xdr:row>193</xdr:row>
      <xdr:rowOff>110571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4625" y="31844192"/>
          <a:ext cx="4407959" cy="318502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cion06\aus\2010\AUS-6304-3%20Tuberias%20Proyecto%20Altos%20de%20Bacat&#225;\MAUS-6304-3%20Tuber&#237;as%20Proyecto%20Altos%20de%20Bacat&#22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cion06\AUS\ACM\AUS-5483-2%20Tuber&#237;as%20Proyecto%20Reserva%20De%20Las%20Am&#233;ricas%20INVERSIONES%20MENDEBAL\Nuevo%20MAUS-5483-2%20Tuber&#237;as%20R&#237;gidas%20Proyecto%20Reserva%20de%20la%20Am&#233;ricas%20Mendeb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UEVAS LLUVIAS RÍGIDAS"/>
      <sheetName val=" Lluvias Rígidas"/>
      <sheetName val="Sanitario Flexibles"/>
      <sheetName val="Acueducto"/>
      <sheetName val="Acueducto (2)"/>
      <sheetName val="Capacidad Portante"/>
      <sheetName val="Lluvias Flexibles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M3" t="str">
            <v>AUS-6025-2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LUVIAS RÍGIDAS"/>
      <sheetName val="NEGRAS RÍGIDAS"/>
      <sheetName val="Negras Flexibles"/>
    </sheetNames>
    <sheetDataSet>
      <sheetData sheetId="0" refreshError="1"/>
      <sheetData sheetId="1">
        <row r="29">
          <cell r="C29">
            <v>21.75</v>
          </cell>
        </row>
        <row r="30">
          <cell r="C30">
            <v>67.849999999999994</v>
          </cell>
        </row>
        <row r="31">
          <cell r="C31">
            <v>53.7</v>
          </cell>
        </row>
        <row r="32">
          <cell r="C32">
            <v>32.67</v>
          </cell>
        </row>
        <row r="33">
          <cell r="C33">
            <v>4.45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055C8-37C8-497A-9347-1BC1656F31F3}">
  <sheetPr>
    <tabColor theme="7" tint="0.59999389629810485"/>
  </sheetPr>
  <dimension ref="A1:J66"/>
  <sheetViews>
    <sheetView view="pageBreakPreview" topLeftCell="A52" zoomScaleNormal="100" zoomScaleSheetLayoutView="100" workbookViewId="0">
      <selection activeCell="C26" sqref="C26"/>
    </sheetView>
  </sheetViews>
  <sheetFormatPr baseColWidth="10" defaultColWidth="11.42578125" defaultRowHeight="12"/>
  <cols>
    <col min="1" max="1" width="11.42578125" style="1"/>
    <col min="2" max="2" width="17" style="1" customWidth="1"/>
    <col min="3" max="3" width="14.28515625" style="1" customWidth="1"/>
    <col min="4" max="6" width="11.42578125" style="1"/>
    <col min="7" max="7" width="12.85546875" style="1" bestFit="1" customWidth="1"/>
    <col min="8" max="16384" width="11.42578125" style="1"/>
  </cols>
  <sheetData>
    <row r="1" spans="1:10">
      <c r="A1" s="98"/>
      <c r="B1" s="98"/>
      <c r="C1" s="98"/>
      <c r="D1" s="98"/>
      <c r="E1" s="98"/>
      <c r="F1" s="98"/>
      <c r="G1" s="12"/>
    </row>
    <row r="2" spans="1:10">
      <c r="A2" s="265" t="s">
        <v>369</v>
      </c>
      <c r="B2" s="265"/>
      <c r="C2" s="265"/>
      <c r="D2" s="265"/>
      <c r="E2" s="265"/>
      <c r="F2" s="265"/>
      <c r="G2" s="265"/>
      <c r="H2" s="2"/>
    </row>
    <row r="3" spans="1:10">
      <c r="A3" s="266" t="s">
        <v>354</v>
      </c>
      <c r="B3" s="266"/>
      <c r="C3" s="266"/>
      <c r="D3" s="266"/>
      <c r="E3" s="266"/>
      <c r="F3" s="266"/>
      <c r="G3" s="266"/>
    </row>
    <row r="4" spans="1:10">
      <c r="A4" s="267" t="s">
        <v>235</v>
      </c>
      <c r="B4" s="267"/>
      <c r="C4" s="267"/>
      <c r="D4" s="267"/>
      <c r="E4" s="267"/>
      <c r="F4" s="267"/>
      <c r="G4" s="267"/>
    </row>
    <row r="5" spans="1:10" ht="8.25" customHeight="1">
      <c r="A5" s="251"/>
      <c r="B5" s="251"/>
      <c r="C5" s="251"/>
      <c r="D5" s="251"/>
      <c r="E5" s="251"/>
      <c r="F5" s="251"/>
      <c r="G5" s="12"/>
    </row>
    <row r="6" spans="1:10">
      <c r="A6" s="109" t="s">
        <v>79</v>
      </c>
      <c r="B6" s="12"/>
      <c r="C6" s="12"/>
      <c r="D6" s="12"/>
      <c r="E6" s="12"/>
      <c r="F6" s="12"/>
      <c r="G6" s="98"/>
    </row>
    <row r="7" spans="1:10">
      <c r="A7" s="109"/>
      <c r="B7" s="12"/>
      <c r="C7" s="12"/>
      <c r="D7" s="12"/>
      <c r="E7" s="12"/>
      <c r="F7" s="12"/>
      <c r="G7" s="98"/>
    </row>
    <row r="8" spans="1:10">
      <c r="A8" s="99" t="s">
        <v>133</v>
      </c>
      <c r="B8" s="103"/>
      <c r="C8" s="255" t="s">
        <v>370</v>
      </c>
      <c r="D8" s="12"/>
      <c r="E8" s="12"/>
      <c r="F8" s="12"/>
      <c r="G8" s="98"/>
    </row>
    <row r="9" spans="1:10">
      <c r="A9" s="99" t="s">
        <v>358</v>
      </c>
      <c r="B9" s="103"/>
      <c r="C9" s="104">
        <v>1.27</v>
      </c>
      <c r="D9" s="12"/>
      <c r="E9" s="12"/>
      <c r="F9" s="12"/>
      <c r="G9" s="98"/>
      <c r="H9" s="1" t="s">
        <v>355</v>
      </c>
      <c r="I9" s="1">
        <v>1.27</v>
      </c>
      <c r="J9" s="1" t="s">
        <v>87</v>
      </c>
    </row>
    <row r="10" spans="1:10">
      <c r="A10" s="99"/>
      <c r="B10" s="103"/>
      <c r="C10" s="104"/>
      <c r="D10" s="12"/>
      <c r="E10" s="12"/>
      <c r="F10" s="12"/>
      <c r="G10" s="98"/>
      <c r="H10" s="3" t="s">
        <v>356</v>
      </c>
      <c r="I10" s="1">
        <v>3.11</v>
      </c>
      <c r="J10" s="1" t="s">
        <v>87</v>
      </c>
    </row>
    <row r="11" spans="1:10">
      <c r="A11" s="99"/>
      <c r="B11" s="103"/>
      <c r="C11" s="104"/>
      <c r="D11" s="12"/>
      <c r="E11" s="12"/>
      <c r="F11" s="12"/>
      <c r="G11" s="98"/>
      <c r="H11" s="3" t="s">
        <v>360</v>
      </c>
      <c r="I11" s="1">
        <v>20.6</v>
      </c>
      <c r="J11" s="1" t="s">
        <v>375</v>
      </c>
    </row>
    <row r="12" spans="1:10">
      <c r="A12" s="99"/>
      <c r="B12" s="103"/>
      <c r="C12" s="104"/>
      <c r="D12" s="12"/>
      <c r="E12" s="12"/>
      <c r="F12" s="12"/>
      <c r="G12" s="98"/>
    </row>
    <row r="13" spans="1:10">
      <c r="A13" s="99"/>
      <c r="B13" s="103"/>
      <c r="C13" s="104"/>
      <c r="D13" s="12"/>
      <c r="E13" s="12"/>
      <c r="F13" s="12"/>
      <c r="G13" s="98"/>
    </row>
    <row r="14" spans="1:10">
      <c r="A14" s="99"/>
      <c r="B14" s="103"/>
      <c r="C14" s="104"/>
      <c r="D14" s="12"/>
      <c r="E14" s="12"/>
      <c r="F14" s="12"/>
      <c r="G14" s="98"/>
    </row>
    <row r="15" spans="1:10">
      <c r="A15" s="99"/>
      <c r="B15" s="103"/>
      <c r="C15" s="104"/>
      <c r="D15" s="12"/>
      <c r="E15" s="12"/>
      <c r="F15" s="12"/>
      <c r="G15" s="98"/>
    </row>
    <row r="16" spans="1:10" ht="19.5" customHeight="1">
      <c r="A16" s="268" t="s">
        <v>365</v>
      </c>
      <c r="B16" s="268"/>
      <c r="C16" s="70">
        <f>+I11*I9</f>
        <v>26.162000000000003</v>
      </c>
      <c r="D16" s="73"/>
      <c r="E16" s="102"/>
      <c r="F16" s="12"/>
      <c r="G16" s="12"/>
      <c r="H16" s="3"/>
    </row>
    <row r="17" spans="1:8" ht="13.5" customHeight="1">
      <c r="A17" s="268" t="s">
        <v>362</v>
      </c>
      <c r="B17" s="268"/>
      <c r="C17" s="34">
        <v>19.260000000000002</v>
      </c>
      <c r="D17" s="73" t="s">
        <v>376</v>
      </c>
      <c r="E17" s="102"/>
      <c r="F17" s="12"/>
      <c r="G17" s="12"/>
      <c r="H17" s="3">
        <f>+RADIANS(30.4)</f>
        <v>0.53058009260627614</v>
      </c>
    </row>
    <row r="18" spans="1:8">
      <c r="A18" s="252"/>
      <c r="B18" s="252"/>
      <c r="C18" s="34"/>
      <c r="D18" s="73"/>
      <c r="E18" s="102"/>
      <c r="F18" s="12"/>
      <c r="G18" s="12"/>
      <c r="H18" s="3"/>
    </row>
    <row r="19" spans="1:8">
      <c r="A19" s="252"/>
      <c r="B19" s="252"/>
      <c r="C19" s="34"/>
      <c r="D19" s="73"/>
      <c r="E19" s="102"/>
      <c r="F19" s="12"/>
      <c r="G19" s="12"/>
      <c r="H19" s="3"/>
    </row>
    <row r="20" spans="1:8">
      <c r="A20" s="252"/>
      <c r="B20" s="252"/>
      <c r="C20" s="34"/>
      <c r="D20" s="73"/>
      <c r="E20" s="102"/>
      <c r="F20" s="12"/>
      <c r="G20" s="12"/>
      <c r="H20" s="3"/>
    </row>
    <row r="21" spans="1:8" ht="8.25" customHeight="1">
      <c r="A21" s="252"/>
      <c r="B21" s="252"/>
      <c r="C21" s="34"/>
      <c r="D21" s="73"/>
      <c r="E21" s="102"/>
      <c r="F21" s="12"/>
      <c r="G21" s="12"/>
      <c r="H21" s="3"/>
    </row>
    <row r="22" spans="1:8" ht="16.5" customHeight="1">
      <c r="A22" s="268" t="s">
        <v>374</v>
      </c>
      <c r="B22" s="268"/>
      <c r="C22" s="34">
        <f>2*(C17+1)*TAN(H17)</f>
        <v>23.77294279989253</v>
      </c>
      <c r="D22" s="73"/>
      <c r="E22" s="102"/>
      <c r="F22" s="12"/>
      <c r="G22" s="12"/>
      <c r="H22" s="3"/>
    </row>
    <row r="23" spans="1:8">
      <c r="A23" s="252"/>
      <c r="B23" s="252"/>
      <c r="C23" s="34"/>
      <c r="D23" s="73"/>
      <c r="E23" s="102"/>
      <c r="F23" s="12"/>
      <c r="G23" s="12"/>
      <c r="H23" s="3"/>
    </row>
    <row r="24" spans="1:8">
      <c r="A24" s="252"/>
      <c r="B24" s="252"/>
      <c r="C24" s="34"/>
      <c r="D24" s="73"/>
      <c r="E24" s="102"/>
      <c r="F24" s="12"/>
      <c r="G24" s="12"/>
      <c r="H24" s="3"/>
    </row>
    <row r="25" spans="1:8" ht="7.5" customHeight="1">
      <c r="A25" s="252"/>
      <c r="B25" s="252"/>
      <c r="C25" s="34"/>
      <c r="D25" s="73"/>
      <c r="E25" s="102"/>
      <c r="F25" s="12"/>
      <c r="G25" s="12"/>
      <c r="H25" s="3"/>
    </row>
    <row r="26" spans="1:8" ht="13.5">
      <c r="A26" s="270" t="s">
        <v>377</v>
      </c>
      <c r="B26" s="270"/>
      <c r="C26" s="34">
        <f>+I11</f>
        <v>20.6</v>
      </c>
      <c r="D26" s="73"/>
      <c r="E26" s="102"/>
      <c r="F26" s="12"/>
      <c r="G26" s="12"/>
      <c r="H26" s="3"/>
    </row>
    <row r="27" spans="1:8" ht="13.5">
      <c r="A27" s="268" t="s">
        <v>378</v>
      </c>
      <c r="B27" s="270"/>
      <c r="C27" s="34">
        <f>+C9*(I11-10)</f>
        <v>13.462000000000002</v>
      </c>
      <c r="D27" s="73"/>
      <c r="E27" s="102"/>
      <c r="F27" s="12"/>
      <c r="G27" s="12"/>
      <c r="H27" s="3"/>
    </row>
    <row r="28" spans="1:8">
      <c r="A28" s="268" t="s">
        <v>16</v>
      </c>
      <c r="B28" s="268"/>
      <c r="C28" s="34">
        <v>1.33</v>
      </c>
      <c r="D28" s="73"/>
      <c r="E28" s="102"/>
      <c r="F28" s="12"/>
      <c r="G28" s="12"/>
      <c r="H28" s="3"/>
    </row>
    <row r="29" spans="1:8">
      <c r="A29" s="268" t="s">
        <v>363</v>
      </c>
      <c r="B29" s="268"/>
      <c r="C29" s="34">
        <v>3</v>
      </c>
      <c r="D29" s="252"/>
      <c r="E29" s="12"/>
      <c r="F29" s="12"/>
      <c r="G29" s="12"/>
      <c r="H29" s="3"/>
    </row>
    <row r="30" spans="1:8">
      <c r="A30" s="271"/>
      <c r="B30" s="271"/>
      <c r="C30" s="98"/>
      <c r="D30" s="98"/>
      <c r="E30" s="98"/>
      <c r="F30" s="98"/>
      <c r="G30" s="98"/>
    </row>
    <row r="31" spans="1:8" ht="8.25" customHeight="1">
      <c r="A31" s="98"/>
      <c r="B31" s="98"/>
      <c r="C31" s="98"/>
      <c r="D31" s="98"/>
      <c r="E31" s="98"/>
      <c r="F31" s="98"/>
      <c r="G31" s="98"/>
    </row>
    <row r="32" spans="1:8">
      <c r="A32" s="98" t="s">
        <v>80</v>
      </c>
      <c r="B32" s="98"/>
      <c r="C32" s="98"/>
      <c r="D32" s="98"/>
      <c r="E32" s="98"/>
      <c r="F32" s="98"/>
      <c r="G32" s="98"/>
    </row>
    <row r="33" spans="1:8">
      <c r="A33" s="98"/>
      <c r="B33" s="98"/>
      <c r="C33" s="98"/>
      <c r="D33" s="98"/>
      <c r="E33" s="98"/>
      <c r="F33" s="98"/>
      <c r="G33" s="98"/>
    </row>
    <row r="34" spans="1:8" ht="14.25">
      <c r="A34" s="98"/>
      <c r="B34" s="100" t="s">
        <v>92</v>
      </c>
      <c r="C34" s="101">
        <f>+((C27*C17)+(0.5*C26*C28*C22))/C29</f>
        <v>194.98122113857596</v>
      </c>
      <c r="D34" s="253" t="s">
        <v>366</v>
      </c>
      <c r="E34" s="101">
        <f>+C34/10</f>
        <v>19.498122113857598</v>
      </c>
      <c r="F34" s="253" t="s">
        <v>91</v>
      </c>
      <c r="G34" s="110"/>
      <c r="H34" s="112"/>
    </row>
    <row r="35" spans="1:8">
      <c r="A35" s="98"/>
      <c r="B35" s="98"/>
      <c r="C35" s="98"/>
      <c r="D35" s="98"/>
      <c r="E35" s="98"/>
      <c r="F35" s="98"/>
      <c r="G35" s="98"/>
    </row>
    <row r="36" spans="1:8">
      <c r="A36" s="108" t="s">
        <v>371</v>
      </c>
      <c r="B36" s="98"/>
      <c r="C36" s="98"/>
      <c r="D36" s="98"/>
      <c r="E36" s="98"/>
      <c r="F36" s="98"/>
      <c r="G36" s="98"/>
    </row>
    <row r="37" spans="1:8">
      <c r="A37" s="98"/>
      <c r="B37" s="98"/>
      <c r="C37" s="98"/>
      <c r="D37" s="98"/>
      <c r="E37" s="98"/>
      <c r="F37" s="98"/>
      <c r="G37" s="98"/>
    </row>
    <row r="38" spans="1:8">
      <c r="A38" s="98" t="s">
        <v>367</v>
      </c>
      <c r="B38" s="98"/>
      <c r="C38" s="98"/>
      <c r="D38" s="98"/>
      <c r="E38" s="98"/>
      <c r="F38" s="98"/>
      <c r="G38" s="98"/>
    </row>
    <row r="39" spans="1:8">
      <c r="A39" s="98"/>
      <c r="B39" s="98"/>
      <c r="C39" s="98"/>
      <c r="D39" s="98"/>
      <c r="E39" s="98"/>
      <c r="F39" s="98"/>
      <c r="G39" s="98"/>
    </row>
    <row r="40" spans="1:8">
      <c r="A40" s="98"/>
      <c r="B40" s="98"/>
      <c r="C40" s="249"/>
      <c r="D40" s="6"/>
      <c r="E40" s="98"/>
      <c r="F40" s="98"/>
      <c r="G40" s="98"/>
    </row>
    <row r="41" spans="1:8">
      <c r="A41" s="98"/>
      <c r="B41" s="98"/>
      <c r="C41" s="249"/>
      <c r="D41" s="6"/>
      <c r="E41" s="98"/>
      <c r="F41" s="98"/>
      <c r="G41" s="98"/>
    </row>
    <row r="42" spans="1:8">
      <c r="A42" s="98"/>
      <c r="B42" s="98"/>
      <c r="C42" s="249"/>
      <c r="D42" s="6"/>
      <c r="E42" s="98"/>
      <c r="F42" s="98"/>
      <c r="G42" s="98"/>
    </row>
    <row r="43" spans="1:8">
      <c r="A43" s="98"/>
      <c r="B43" s="98"/>
      <c r="C43" s="249"/>
      <c r="D43" s="6"/>
      <c r="E43" s="98"/>
      <c r="F43" s="98"/>
      <c r="G43" s="98"/>
    </row>
    <row r="44" spans="1:8" ht="9" customHeight="1">
      <c r="A44" s="98"/>
      <c r="B44" s="98"/>
      <c r="C44" s="249"/>
      <c r="D44" s="6"/>
      <c r="E44" s="98"/>
      <c r="F44" s="98"/>
      <c r="G44" s="98"/>
    </row>
    <row r="45" spans="1:8">
      <c r="A45" s="98" t="s">
        <v>2</v>
      </c>
      <c r="B45" s="98"/>
      <c r="C45" s="98"/>
      <c r="D45" s="98"/>
      <c r="E45" s="98"/>
      <c r="F45" s="12"/>
      <c r="G45" s="12"/>
    </row>
    <row r="46" spans="1:8">
      <c r="A46" s="98"/>
      <c r="B46" s="253" t="s">
        <v>85</v>
      </c>
      <c r="C46" s="105" t="s">
        <v>86</v>
      </c>
      <c r="D46" s="98"/>
      <c r="E46" s="98"/>
      <c r="F46" s="106">
        <f>+I10</f>
        <v>3.11</v>
      </c>
      <c r="G46" s="12" t="s">
        <v>87</v>
      </c>
    </row>
    <row r="47" spans="1:8" ht="13.5">
      <c r="A47" s="98"/>
      <c r="B47" s="253" t="s">
        <v>127</v>
      </c>
      <c r="C47" s="105" t="s">
        <v>88</v>
      </c>
      <c r="D47" s="98"/>
      <c r="E47" s="98"/>
      <c r="F47" s="106">
        <f>28*4.4</f>
        <v>123.20000000000002</v>
      </c>
      <c r="G47" s="102" t="s">
        <v>385</v>
      </c>
    </row>
    <row r="48" spans="1:8">
      <c r="A48" s="98"/>
      <c r="B48" s="253" t="s">
        <v>89</v>
      </c>
      <c r="C48" s="105" t="s">
        <v>90</v>
      </c>
      <c r="D48" s="98"/>
      <c r="E48" s="98"/>
      <c r="F48" s="106">
        <v>1.8</v>
      </c>
      <c r="G48" s="12" t="s">
        <v>87</v>
      </c>
    </row>
    <row r="49" spans="1:10" ht="13.5">
      <c r="A49" s="98"/>
      <c r="B49" s="6" t="s">
        <v>94</v>
      </c>
      <c r="C49" s="15">
        <v>20.6</v>
      </c>
      <c r="D49" s="105" t="s">
        <v>386</v>
      </c>
      <c r="E49" s="98"/>
      <c r="F49" s="12"/>
      <c r="G49" s="12"/>
    </row>
    <row r="50" spans="1:10">
      <c r="A50" s="98"/>
      <c r="B50" s="98"/>
      <c r="C50" s="98"/>
      <c r="D50" s="98"/>
      <c r="E50" s="98"/>
      <c r="F50" s="12"/>
      <c r="G50" s="12"/>
    </row>
    <row r="51" spans="1:10">
      <c r="A51" s="98"/>
      <c r="B51" s="7"/>
      <c r="C51" s="8"/>
      <c r="D51" s="9"/>
      <c r="E51" s="98"/>
      <c r="F51" s="12"/>
      <c r="G51" s="12"/>
    </row>
    <row r="52" spans="1:10">
      <c r="A52" s="98"/>
      <c r="B52" s="98"/>
      <c r="C52" s="8"/>
      <c r="D52" s="98"/>
      <c r="E52" s="98"/>
      <c r="F52" s="12"/>
      <c r="G52" s="12"/>
    </row>
    <row r="53" spans="1:10">
      <c r="A53" s="98"/>
      <c r="B53" s="253" t="str">
        <f>CONCATENATE("H = ",Alt," m")</f>
        <v>H = 3,11 m</v>
      </c>
      <c r="C53" s="10" t="str">
        <f>CONCATENATE("Bd = ",Bd," m")</f>
        <v>Bd = 1,8 m</v>
      </c>
      <c r="D53" s="98"/>
      <c r="E53" s="253"/>
      <c r="F53" s="101"/>
      <c r="G53" s="105"/>
    </row>
    <row r="54" spans="1:10">
      <c r="A54" s="98"/>
      <c r="B54" s="98"/>
      <c r="C54" s="8"/>
      <c r="D54" s="98"/>
      <c r="E54" s="98"/>
      <c r="F54" s="98"/>
      <c r="G54" s="98"/>
    </row>
    <row r="55" spans="1:10">
      <c r="A55" s="98"/>
      <c r="B55" s="98"/>
      <c r="C55" s="11"/>
      <c r="D55" s="98"/>
      <c r="E55" s="98"/>
      <c r="F55" s="98"/>
      <c r="G55" s="98"/>
    </row>
    <row r="56" spans="1:10">
      <c r="A56" s="98"/>
      <c r="B56" s="98"/>
      <c r="C56" s="98"/>
      <c r="D56" s="98"/>
      <c r="E56" s="98"/>
      <c r="F56" s="98"/>
      <c r="G56" s="98"/>
    </row>
    <row r="57" spans="1:10">
      <c r="A57" s="98"/>
      <c r="B57" s="100" t="s">
        <v>61</v>
      </c>
      <c r="C57" s="69">
        <f>(1/Alt)*(5.7*F47)/(C49-((F47/100)/(0.7*Bd)))</f>
        <v>11.507394041797003</v>
      </c>
      <c r="D57" s="98" t="s">
        <v>81</v>
      </c>
      <c r="E57" s="98" t="str">
        <f>IF(C57&gt;1.5,"OK","NO CUMPLE")</f>
        <v>OK</v>
      </c>
      <c r="F57" s="98"/>
      <c r="G57" s="98"/>
    </row>
    <row r="58" spans="1:10">
      <c r="A58" s="98"/>
      <c r="B58" s="98"/>
      <c r="C58" s="98"/>
      <c r="D58" s="98"/>
      <c r="E58" s="98"/>
      <c r="F58" s="98"/>
      <c r="G58" s="98"/>
    </row>
    <row r="59" spans="1:10">
      <c r="A59" s="108" t="s">
        <v>372</v>
      </c>
      <c r="B59" s="98"/>
      <c r="C59" s="98"/>
      <c r="D59" s="98"/>
      <c r="E59" s="98"/>
      <c r="F59" s="98"/>
      <c r="G59" s="98"/>
    </row>
    <row r="60" spans="1:10">
      <c r="A60" s="98"/>
      <c r="B60" s="98"/>
      <c r="C60" s="98"/>
      <c r="D60" s="98"/>
      <c r="E60" s="98"/>
      <c r="F60" s="98"/>
      <c r="G60" s="98"/>
    </row>
    <row r="61" spans="1:10">
      <c r="A61" s="98" t="s">
        <v>387</v>
      </c>
      <c r="B61" s="98"/>
      <c r="C61" s="98"/>
      <c r="D61" s="98"/>
      <c r="E61" s="98"/>
      <c r="F61" s="98"/>
      <c r="G61" s="98"/>
    </row>
    <row r="62" spans="1:10">
      <c r="A62" s="98"/>
      <c r="B62" s="98"/>
      <c r="C62" s="98"/>
      <c r="D62" s="98"/>
      <c r="E62" s="98"/>
      <c r="F62" s="98"/>
      <c r="G62" s="98"/>
    </row>
    <row r="63" spans="1:10">
      <c r="A63" s="272" t="s">
        <v>368</v>
      </c>
      <c r="B63" s="5" t="s">
        <v>82</v>
      </c>
      <c r="C63" s="273" t="s">
        <v>83</v>
      </c>
      <c r="D63" s="269">
        <f>+(2*F47)/(1.5*C49)</f>
        <v>7.9741100323624599</v>
      </c>
      <c r="F63" s="98"/>
      <c r="G63" s="98"/>
      <c r="H63" s="258"/>
      <c r="I63" s="259"/>
      <c r="J63" s="257"/>
    </row>
    <row r="64" spans="1:10">
      <c r="A64" s="272"/>
      <c r="B64" s="253" t="s">
        <v>95</v>
      </c>
      <c r="C64" s="273"/>
      <c r="D64" s="269"/>
      <c r="E64" s="98"/>
      <c r="F64" s="98"/>
      <c r="G64" s="98"/>
    </row>
    <row r="65" spans="1:7">
      <c r="A65" s="98"/>
      <c r="B65" s="98"/>
      <c r="C65" s="98"/>
      <c r="D65" s="98"/>
      <c r="E65" s="98"/>
      <c r="F65" s="98"/>
      <c r="G65" s="98"/>
    </row>
    <row r="66" spans="1:7">
      <c r="A66" s="98" t="s">
        <v>84</v>
      </c>
      <c r="B66" s="98"/>
      <c r="C66" s="98"/>
      <c r="D66" s="98"/>
      <c r="E66" s="98"/>
      <c r="F66" s="98"/>
      <c r="G66" s="98"/>
    </row>
  </sheetData>
  <mergeCells count="14">
    <mergeCell ref="A2:G2"/>
    <mergeCell ref="A3:G3"/>
    <mergeCell ref="A4:G4"/>
    <mergeCell ref="A16:B16"/>
    <mergeCell ref="D63:D64"/>
    <mergeCell ref="A22:B22"/>
    <mergeCell ref="A26:B26"/>
    <mergeCell ref="A28:B28"/>
    <mergeCell ref="A27:B27"/>
    <mergeCell ref="A17:B17"/>
    <mergeCell ref="A29:B29"/>
    <mergeCell ref="A30:B30"/>
    <mergeCell ref="A63:A64"/>
    <mergeCell ref="C63:C64"/>
  </mergeCells>
  <conditionalFormatting sqref="C57">
    <cfRule type="cellIs" dxfId="15" priority="1" stopIfTrue="1" operator="lessThanOrEqual">
      <formula>1.5</formula>
    </cfRule>
  </conditionalFormatting>
  <printOptions horizontalCentered="1"/>
  <pageMargins left="0.94488188976377963" right="0.59055118110236227" top="0.78740157480314965" bottom="0.78740157480314965" header="0.78740157480314965" footer="0.78740157480314965"/>
  <pageSetup scale="88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7DDD3-2640-4E6F-8C29-BD14CA3879FD}">
  <sheetPr>
    <tabColor theme="6" tint="0.39997558519241921"/>
    <pageSetUpPr fitToPage="1"/>
  </sheetPr>
  <dimension ref="A2:IF206"/>
  <sheetViews>
    <sheetView view="pageBreakPreview" topLeftCell="A160" zoomScale="90" zoomScaleNormal="90" zoomScaleSheetLayoutView="90" workbookViewId="0">
      <selection activeCell="A2" sqref="A2:XFD3"/>
    </sheetView>
  </sheetViews>
  <sheetFormatPr baseColWidth="10" defaultColWidth="11.42578125" defaultRowHeight="12"/>
  <cols>
    <col min="1" max="2" width="9.140625" style="17" customWidth="1"/>
    <col min="3" max="3" width="9.5703125" style="17" customWidth="1"/>
    <col min="4" max="4" width="9.28515625" style="17" customWidth="1"/>
    <col min="5" max="5" width="12.140625" style="17" customWidth="1"/>
    <col min="6" max="6" width="12.28515625" style="17" customWidth="1"/>
    <col min="7" max="7" width="15.7109375" style="17" customWidth="1"/>
    <col min="8" max="8" width="12.7109375" style="17" customWidth="1"/>
    <col min="9" max="9" width="10.85546875" style="17" customWidth="1"/>
    <col min="10" max="10" width="11" style="17" customWidth="1"/>
    <col min="11" max="11" width="10.28515625" style="17" customWidth="1"/>
    <col min="12" max="12" width="12.5703125" style="17" customWidth="1"/>
    <col min="13" max="13" width="12.85546875" style="17" customWidth="1"/>
    <col min="14" max="14" width="11.42578125" style="17"/>
    <col min="15" max="16" width="11.85546875" style="17" bestFit="1" customWidth="1"/>
    <col min="17" max="17" width="11.85546875" style="17" customWidth="1"/>
    <col min="18" max="18" width="11.85546875" style="17" bestFit="1" customWidth="1"/>
    <col min="19" max="19" width="16.28515625" style="17" bestFit="1" customWidth="1"/>
    <col min="20" max="20" width="11.85546875" style="17" bestFit="1" customWidth="1"/>
    <col min="21" max="21" width="15.140625" style="17" customWidth="1"/>
    <col min="22" max="22" width="11.5703125" style="17" bestFit="1" customWidth="1"/>
    <col min="23" max="23" width="15" style="17" customWidth="1"/>
    <col min="24" max="24" width="11.5703125" style="17" bestFit="1" customWidth="1"/>
    <col min="25" max="16384" width="11.42578125" style="17"/>
  </cols>
  <sheetData>
    <row r="2" spans="1:13" ht="12.75" customHeight="1">
      <c r="A2" s="302" t="s">
        <v>236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3" spans="1:13" s="56" customFormat="1" ht="12.75" customHeight="1">
      <c r="A3" s="303" t="s">
        <v>340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</row>
    <row r="5" spans="1:13">
      <c r="A5" s="19" t="s">
        <v>78</v>
      </c>
    </row>
    <row r="7" spans="1:13">
      <c r="A7" s="19" t="s">
        <v>0</v>
      </c>
    </row>
    <row r="8" spans="1:13">
      <c r="A8" s="19"/>
    </row>
    <row r="9" spans="1:13">
      <c r="A9" s="19" t="s">
        <v>1</v>
      </c>
    </row>
    <row r="10" spans="1:13" ht="12.75" customHeight="1"/>
    <row r="11" spans="1:13" ht="12.75" customHeight="1"/>
    <row r="12" spans="1:13" ht="12.75" customHeight="1"/>
    <row r="13" spans="1:13">
      <c r="E13" s="20"/>
      <c r="F13" s="20"/>
      <c r="G13" s="18"/>
    </row>
    <row r="14" spans="1:13">
      <c r="D14" s="17" t="s">
        <v>2</v>
      </c>
    </row>
    <row r="15" spans="1:13">
      <c r="E15" s="20"/>
      <c r="F15" s="20"/>
      <c r="G15" s="18"/>
    </row>
    <row r="16" spans="1:13">
      <c r="E16" s="20"/>
      <c r="F16" s="20"/>
      <c r="G16" s="18"/>
    </row>
    <row r="17" spans="1:15">
      <c r="E17" s="20"/>
      <c r="F17" s="20"/>
      <c r="G17" s="18"/>
    </row>
    <row r="18" spans="1:15">
      <c r="E18" s="20"/>
      <c r="F18" s="20"/>
      <c r="G18" s="18"/>
    </row>
    <row r="19" spans="1:15">
      <c r="E19" s="20"/>
      <c r="F19" s="20"/>
      <c r="G19" s="18"/>
    </row>
    <row r="20" spans="1:15">
      <c r="E20" s="20"/>
      <c r="F20" s="20"/>
      <c r="G20" s="18"/>
    </row>
    <row r="21" spans="1:15">
      <c r="E21" s="20"/>
      <c r="F21" s="20"/>
      <c r="G21" s="18"/>
    </row>
    <row r="22" spans="1:15">
      <c r="E22" s="20"/>
      <c r="F22" s="20"/>
      <c r="G22" s="18"/>
    </row>
    <row r="23" spans="1:15" ht="7.5" customHeight="1">
      <c r="E23" s="20"/>
      <c r="F23" s="20"/>
      <c r="G23" s="18"/>
    </row>
    <row r="25" spans="1:15">
      <c r="A25" s="19" t="s">
        <v>3</v>
      </c>
      <c r="G25" s="18"/>
    </row>
    <row r="26" spans="1:15">
      <c r="G26" s="18"/>
    </row>
    <row r="27" spans="1:15">
      <c r="G27" s="18"/>
    </row>
    <row r="28" spans="1:15">
      <c r="G28" s="18"/>
    </row>
    <row r="29" spans="1:15">
      <c r="E29" s="20"/>
      <c r="F29" s="20"/>
      <c r="G29" s="18"/>
    </row>
    <row r="30" spans="1:15">
      <c r="D30" s="17" t="s">
        <v>2</v>
      </c>
      <c r="G30" s="18"/>
      <c r="N30" s="29"/>
      <c r="O30" s="29"/>
    </row>
    <row r="31" spans="1:15">
      <c r="G31" s="18"/>
      <c r="N31" s="29"/>
      <c r="O31" s="29"/>
    </row>
    <row r="32" spans="1:15">
      <c r="E32" s="20"/>
      <c r="F32" s="20"/>
      <c r="G32" s="18"/>
      <c r="N32" s="29"/>
      <c r="O32" s="29"/>
    </row>
    <row r="33" spans="1:26" ht="18.75" customHeight="1">
      <c r="E33" s="22"/>
      <c r="F33" s="22"/>
      <c r="G33" s="18"/>
      <c r="N33" s="29"/>
      <c r="O33" s="29"/>
    </row>
    <row r="34" spans="1:26">
      <c r="A34" s="17" t="s">
        <v>4</v>
      </c>
      <c r="N34" s="29"/>
      <c r="O34" s="29"/>
    </row>
    <row r="35" spans="1:26" ht="16.5" customHeight="1">
      <c r="N35" s="29"/>
      <c r="O35" s="29"/>
    </row>
    <row r="36" spans="1:26">
      <c r="C36" s="23" t="s">
        <v>96</v>
      </c>
      <c r="D36" s="41">
        <v>30</v>
      </c>
      <c r="E36" s="130"/>
      <c r="F36" s="131" t="s">
        <v>97</v>
      </c>
      <c r="G36" s="132">
        <f>D36*PI()/180</f>
        <v>0.52359877559829882</v>
      </c>
      <c r="K36" s="26"/>
    </row>
    <row r="37" spans="1:26" ht="13.5">
      <c r="C37" s="27" t="s">
        <v>5</v>
      </c>
      <c r="D37" s="132">
        <f>(TAN(PI()/4-G36/2))^2</f>
        <v>0.33333333333333343</v>
      </c>
      <c r="E37" s="130"/>
      <c r="F37" s="131" t="s">
        <v>98</v>
      </c>
      <c r="G37" s="54">
        <v>20</v>
      </c>
      <c r="K37" s="26"/>
    </row>
    <row r="38" spans="1:26">
      <c r="C38" s="23" t="s">
        <v>99</v>
      </c>
      <c r="D38" s="25">
        <f>TAN(G36)</f>
        <v>0.57735026918962573</v>
      </c>
      <c r="E38" s="24"/>
      <c r="K38" s="26"/>
    </row>
    <row r="40" spans="1:26" s="31" customFormat="1" ht="36.75" customHeight="1">
      <c r="A40" s="168"/>
      <c r="B40" s="138" t="s">
        <v>128</v>
      </c>
      <c r="C40" s="202" t="s">
        <v>129</v>
      </c>
      <c r="D40" s="202" t="s">
        <v>130</v>
      </c>
      <c r="E40" s="202" t="s">
        <v>209</v>
      </c>
      <c r="F40" s="202" t="s">
        <v>208</v>
      </c>
      <c r="G40" s="202" t="s">
        <v>223</v>
      </c>
      <c r="H40" s="202" t="s">
        <v>207</v>
      </c>
      <c r="I40" s="202" t="s">
        <v>205</v>
      </c>
      <c r="J40" s="204" t="s">
        <v>10</v>
      </c>
      <c r="K40" s="202" t="s">
        <v>206</v>
      </c>
      <c r="L40" s="202" t="s">
        <v>202</v>
      </c>
      <c r="O40" s="138" t="s">
        <v>203</v>
      </c>
      <c r="P40" s="198" t="s">
        <v>11</v>
      </c>
      <c r="Q40" s="137" t="s">
        <v>12</v>
      </c>
      <c r="R40" s="201"/>
      <c r="S40" s="197"/>
      <c r="V40" s="17"/>
    </row>
    <row r="41" spans="1:26" ht="13.5" customHeight="1">
      <c r="A41" s="169"/>
      <c r="B41" s="55" t="s">
        <v>299</v>
      </c>
      <c r="C41" s="178">
        <v>131835</v>
      </c>
      <c r="D41" s="53">
        <v>9.9</v>
      </c>
      <c r="E41" s="55">
        <v>10</v>
      </c>
      <c r="F41" s="134">
        <f>+INDEX(Especificaciones!$C$5:$C$25,MATCH('Flexible - D P4'!O41,Especificaciones!$B$5:$B$25,-1))</f>
        <v>0.2732</v>
      </c>
      <c r="G41" s="231">
        <v>2654.8</v>
      </c>
      <c r="H41" s="231">
        <v>1.8</v>
      </c>
      <c r="I41" s="53">
        <v>1</v>
      </c>
      <c r="J41" s="32">
        <f t="shared" ref="J41" si="0">IF(I41&gt;=2*F41,H41/F41,(1-EXP(-2*$D$37*$D$38*H41/I41))/(2*$D$37*$D$38))</f>
        <v>6.5885797950219622</v>
      </c>
      <c r="K41" s="135">
        <f t="shared" ref="K41" si="1">IF(I41&gt;=2*F41,J41*$G$37*F41^2,J41*$G$37*I41*F41)</f>
        <v>9.8352000000000004</v>
      </c>
      <c r="L41" s="135" t="s">
        <v>17</v>
      </c>
      <c r="N41" s="38"/>
      <c r="O41" s="55">
        <v>250</v>
      </c>
      <c r="P41" s="21">
        <f t="shared" ref="P41" si="2">+F41+H41+0.1</f>
        <v>2.1732</v>
      </c>
      <c r="Q41" s="21">
        <f t="shared" ref="Q41" si="3">P41*1.5</f>
        <v>3.2598000000000003</v>
      </c>
      <c r="R41" s="13"/>
      <c r="S41" s="14"/>
      <c r="T41" s="29"/>
      <c r="U41" s="14"/>
      <c r="V41" s="29"/>
    </row>
    <row r="42" spans="1:26">
      <c r="A42" s="199"/>
      <c r="B42" s="199"/>
      <c r="C42" s="35"/>
      <c r="D42" s="71"/>
      <c r="E42" s="36"/>
      <c r="F42" s="35"/>
      <c r="H42" s="35"/>
      <c r="I42" s="35"/>
      <c r="J42" s="60"/>
      <c r="K42" s="36"/>
      <c r="L42" s="36"/>
      <c r="M42" s="37"/>
      <c r="N42" s="38"/>
      <c r="O42" s="55"/>
      <c r="P42" s="21"/>
      <c r="Q42" s="21"/>
    </row>
    <row r="43" spans="1:26">
      <c r="A43" s="19" t="s">
        <v>18</v>
      </c>
      <c r="B43" s="39"/>
      <c r="C43" s="19"/>
      <c r="D43" s="19"/>
      <c r="E43" s="19"/>
      <c r="F43" s="19"/>
      <c r="G43" s="19"/>
      <c r="H43" s="19"/>
      <c r="I43" s="19"/>
      <c r="J43" s="19"/>
      <c r="K43" s="19"/>
      <c r="L43" s="19"/>
    </row>
    <row r="44" spans="1:26">
      <c r="A44" s="19"/>
      <c r="B44" s="19"/>
      <c r="C44" s="19"/>
      <c r="D44" s="19"/>
      <c r="E44" s="40"/>
      <c r="F44" s="20"/>
      <c r="G44" s="40"/>
      <c r="H44" s="19"/>
      <c r="I44" s="19"/>
      <c r="J44" s="19"/>
      <c r="K44" s="19"/>
      <c r="L44" s="19"/>
    </row>
    <row r="45" spans="1:26">
      <c r="A45" s="19"/>
      <c r="B45" s="19"/>
      <c r="C45" s="19"/>
      <c r="H45" s="19"/>
      <c r="I45" s="19"/>
      <c r="J45" s="19"/>
      <c r="K45" s="19"/>
      <c r="L45" s="19"/>
      <c r="O45" s="29"/>
    </row>
    <row r="46" spans="1:26">
      <c r="A46" s="19"/>
      <c r="B46" s="19"/>
      <c r="C46" s="19"/>
      <c r="H46" s="19"/>
      <c r="I46" s="19"/>
      <c r="J46" s="19"/>
      <c r="K46" s="19"/>
      <c r="L46" s="19"/>
    </row>
    <row r="47" spans="1:26">
      <c r="B47" s="19"/>
      <c r="C47" s="19"/>
      <c r="H47" s="19"/>
      <c r="I47" s="19"/>
      <c r="J47" s="19"/>
      <c r="K47" s="19"/>
      <c r="L47" s="19"/>
    </row>
    <row r="48" spans="1:26" s="31" customFormat="1" ht="11.25" customHeight="1">
      <c r="A48" s="19"/>
      <c r="B48" s="19"/>
      <c r="C48" s="19"/>
      <c r="D48" s="17" t="s">
        <v>2</v>
      </c>
      <c r="E48" s="19"/>
      <c r="F48" s="19"/>
      <c r="G48" s="19"/>
      <c r="H48" s="19"/>
      <c r="I48" s="19"/>
      <c r="J48" s="19"/>
      <c r="K48" s="19"/>
      <c r="L48" s="19"/>
      <c r="M48" s="17"/>
      <c r="N48" s="17"/>
      <c r="P48" s="17"/>
      <c r="Q48" s="17"/>
      <c r="R48" s="17"/>
      <c r="S48" s="17"/>
      <c r="T48" s="17"/>
      <c r="U48" s="17"/>
      <c r="W48" s="17"/>
      <c r="X48" s="17"/>
      <c r="Y48" s="17"/>
      <c r="Z48" s="17"/>
    </row>
    <row r="49" spans="1:26" s="31" customFormat="1" ht="16.5" customHeight="1">
      <c r="A49" s="19"/>
      <c r="B49" s="19"/>
      <c r="C49" s="19"/>
      <c r="D49" s="17"/>
      <c r="E49" s="40"/>
      <c r="F49" s="40"/>
      <c r="G49" s="40"/>
      <c r="H49" s="19"/>
      <c r="I49" s="19"/>
      <c r="J49" s="19"/>
      <c r="K49" s="19"/>
      <c r="L49" s="19"/>
      <c r="M49" s="17"/>
      <c r="N49" s="17"/>
      <c r="P49" s="17"/>
      <c r="Q49" s="17"/>
      <c r="R49" s="17"/>
      <c r="S49" s="17"/>
      <c r="T49" s="17"/>
      <c r="U49" s="17"/>
      <c r="W49" s="17"/>
      <c r="X49" s="17"/>
      <c r="Y49" s="17"/>
      <c r="Z49" s="17"/>
    </row>
    <row r="50" spans="1:26" s="31" customFormat="1" ht="18.75" customHeight="1">
      <c r="A50" s="19"/>
      <c r="B50" s="19"/>
      <c r="C50" s="19"/>
      <c r="D50" s="17"/>
      <c r="E50" s="40"/>
      <c r="F50" s="40"/>
      <c r="G50" s="40"/>
      <c r="H50" s="19"/>
      <c r="I50" s="19"/>
      <c r="J50" s="19"/>
      <c r="K50" s="19"/>
      <c r="L50" s="19"/>
      <c r="M50" s="17"/>
      <c r="N50" s="17"/>
      <c r="P50" s="17"/>
      <c r="Q50" s="17"/>
      <c r="R50" s="17"/>
      <c r="S50" s="17"/>
      <c r="T50" s="17"/>
      <c r="U50" s="17"/>
      <c r="W50" s="17"/>
      <c r="X50" s="17"/>
      <c r="Y50" s="17"/>
      <c r="Z50" s="17"/>
    </row>
    <row r="51" spans="1:26" s="31" customFormat="1" ht="18.75" customHeight="1">
      <c r="A51" s="19"/>
      <c r="B51" s="19"/>
      <c r="C51" s="19"/>
      <c r="D51" s="17"/>
      <c r="E51" s="40"/>
      <c r="F51" s="40"/>
      <c r="G51" s="40"/>
      <c r="H51" s="19"/>
      <c r="I51" s="19"/>
      <c r="J51" s="19"/>
      <c r="K51" s="19"/>
      <c r="L51" s="19"/>
      <c r="M51" s="17"/>
      <c r="N51" s="17"/>
      <c r="P51" s="17"/>
      <c r="Q51" s="17"/>
      <c r="R51" s="17"/>
      <c r="S51" s="17"/>
      <c r="T51" s="17"/>
      <c r="U51" s="17"/>
      <c r="W51" s="17"/>
      <c r="X51" s="17"/>
      <c r="Y51" s="17"/>
      <c r="Z51" s="17"/>
    </row>
    <row r="52" spans="1:26" s="31" customFormat="1" ht="12.75" customHeight="1">
      <c r="A52" s="19"/>
      <c r="B52" s="19"/>
      <c r="C52" s="19"/>
      <c r="D52" s="19"/>
      <c r="E52" s="40"/>
      <c r="F52" s="40"/>
      <c r="G52" s="40"/>
      <c r="H52" s="19"/>
      <c r="I52" s="19"/>
      <c r="J52" s="19"/>
      <c r="K52" s="19"/>
      <c r="L52" s="19"/>
      <c r="M52" s="17"/>
      <c r="N52" s="17"/>
      <c r="P52" s="17"/>
      <c r="Q52" s="17"/>
      <c r="R52" s="17"/>
      <c r="S52" s="17"/>
      <c r="T52" s="17"/>
      <c r="U52" s="17"/>
      <c r="W52" s="17"/>
      <c r="X52" s="17"/>
      <c r="Y52" s="17"/>
      <c r="Z52" s="17"/>
    </row>
    <row r="53" spans="1:26" s="31" customFormat="1" ht="15" customHeight="1">
      <c r="A53" s="19"/>
      <c r="B53" s="19"/>
      <c r="C53" s="19"/>
      <c r="D53" s="19"/>
      <c r="E53" s="40"/>
      <c r="F53" s="40"/>
      <c r="G53" s="40"/>
      <c r="H53" s="19"/>
      <c r="I53" s="19"/>
      <c r="J53" s="19"/>
      <c r="K53" s="19"/>
      <c r="L53" s="19"/>
      <c r="M53" s="17"/>
      <c r="N53" s="17"/>
      <c r="P53" s="17"/>
      <c r="Q53" s="17"/>
      <c r="R53" s="17"/>
      <c r="S53" s="17"/>
      <c r="T53" s="17"/>
      <c r="U53" s="17"/>
      <c r="W53" s="17"/>
      <c r="X53" s="17"/>
      <c r="Y53" s="17"/>
      <c r="Z53" s="17"/>
    </row>
    <row r="54" spans="1:26" ht="7.5" customHeight="1">
      <c r="A54" s="19"/>
      <c r="B54" s="19"/>
      <c r="C54" s="19"/>
      <c r="D54" s="19"/>
      <c r="E54" s="40"/>
      <c r="F54" s="40"/>
      <c r="G54" s="40"/>
      <c r="H54" s="19"/>
      <c r="I54" s="19"/>
      <c r="J54" s="19"/>
      <c r="K54" s="19"/>
      <c r="L54" s="19"/>
      <c r="M54" s="19"/>
    </row>
    <row r="55" spans="1:26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</row>
    <row r="56" spans="1:26">
      <c r="A56" s="17" t="s">
        <v>19</v>
      </c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</row>
    <row r="57" spans="1:26"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</row>
    <row r="58" spans="1:26">
      <c r="C58" s="139" t="s">
        <v>20</v>
      </c>
      <c r="D58" s="41">
        <v>80</v>
      </c>
      <c r="F58" s="19"/>
      <c r="G58" s="19"/>
      <c r="H58" s="19"/>
      <c r="I58" s="19"/>
      <c r="J58" s="19"/>
      <c r="K58" s="19"/>
      <c r="L58" s="19"/>
      <c r="M58" s="19"/>
    </row>
    <row r="59" spans="1:26">
      <c r="C59" s="295" t="s">
        <v>21</v>
      </c>
      <c r="D59" s="4">
        <v>1.2</v>
      </c>
      <c r="E59" s="1" t="s">
        <v>174</v>
      </c>
      <c r="F59" s="19"/>
      <c r="G59" s="19"/>
      <c r="H59" s="19"/>
      <c r="I59" s="19"/>
      <c r="J59" s="19"/>
      <c r="K59" s="19"/>
      <c r="L59" s="19"/>
      <c r="M59" s="19"/>
    </row>
    <row r="60" spans="1:26">
      <c r="C60" s="296"/>
      <c r="D60" s="4">
        <v>1.1000000000000001</v>
      </c>
      <c r="E60" s="1" t="s">
        <v>22</v>
      </c>
      <c r="F60" s="19"/>
      <c r="G60" s="19"/>
      <c r="H60" s="19"/>
      <c r="I60" s="19"/>
      <c r="J60" s="19"/>
      <c r="K60" s="19"/>
      <c r="L60" s="19"/>
      <c r="M60" s="19"/>
    </row>
    <row r="61" spans="1:26">
      <c r="C61" s="297"/>
      <c r="D61" s="42">
        <v>1</v>
      </c>
      <c r="E61" s="1" t="s">
        <v>175</v>
      </c>
      <c r="M61" s="19"/>
    </row>
    <row r="62" spans="1:26">
      <c r="M62" s="19"/>
    </row>
    <row r="63" spans="1:26" s="31" customFormat="1" ht="30" customHeight="1">
      <c r="A63" s="168"/>
      <c r="B63" s="138" t="str">
        <f>B$40</f>
        <v>Pozo de</v>
      </c>
      <c r="C63" s="202" t="str">
        <f>C$40</f>
        <v>Pozo a</v>
      </c>
      <c r="D63" s="202" t="s">
        <v>130</v>
      </c>
      <c r="E63" s="202" t="s">
        <v>209</v>
      </c>
      <c r="F63" s="202" t="s">
        <v>204</v>
      </c>
      <c r="G63" s="204" t="s">
        <v>134</v>
      </c>
      <c r="H63" s="202" t="s">
        <v>205</v>
      </c>
      <c r="I63" s="202" t="s">
        <v>224</v>
      </c>
      <c r="J63" s="202" t="s">
        <v>225</v>
      </c>
      <c r="K63" s="202" t="s">
        <v>210</v>
      </c>
      <c r="L63" s="202" t="s">
        <v>211</v>
      </c>
      <c r="N63" s="200" t="s">
        <v>23</v>
      </c>
      <c r="W63" s="17"/>
      <c r="X63" s="17"/>
    </row>
    <row r="64" spans="1:26" s="74" customFormat="1" ht="12" customHeight="1">
      <c r="A64" s="169"/>
      <c r="B64" s="140" t="str">
        <f>+B41</f>
        <v>CR-02</v>
      </c>
      <c r="C64" s="140">
        <f>+C41</f>
        <v>131835</v>
      </c>
      <c r="D64" s="135">
        <f>+D41</f>
        <v>9.9</v>
      </c>
      <c r="E64" s="95">
        <f>+E41</f>
        <v>10</v>
      </c>
      <c r="F64" s="135">
        <f>+F41</f>
        <v>0.2732</v>
      </c>
      <c r="G64" s="135">
        <f>+H41</f>
        <v>1.8</v>
      </c>
      <c r="H64" s="135">
        <f>+I41</f>
        <v>1</v>
      </c>
      <c r="I64" s="135">
        <f t="shared" ref="I64" si="4">0.5+1.75*G64</f>
        <v>3.65</v>
      </c>
      <c r="J64" s="135">
        <f t="shared" ref="J64" si="5">0.25+1.75*G64</f>
        <v>3.4</v>
      </c>
      <c r="K64" s="135">
        <f t="shared" ref="K64" si="6">I64+1.75*(3*F64/4)</f>
        <v>4.0085749999999996</v>
      </c>
      <c r="L64" s="96">
        <f t="shared" ref="L64" si="7">$D$58*CHOOSE(N64,$D$59,$D$60,$D$61)/K64</f>
        <v>19.957216716663655</v>
      </c>
      <c r="M64" s="17"/>
      <c r="N64" s="75">
        <f t="shared" ref="N64" si="8">IF(G64&lt;0.6,1,IF(G64&lt;0.91,2,3))</f>
        <v>3</v>
      </c>
    </row>
    <row r="65" spans="1:26" s="74" customFormat="1" ht="11.25">
      <c r="E65" s="77"/>
      <c r="F65" s="78"/>
      <c r="G65" s="79"/>
      <c r="H65" s="79"/>
      <c r="I65" s="80"/>
      <c r="J65" s="80"/>
      <c r="K65" s="80"/>
    </row>
    <row r="66" spans="1:26">
      <c r="A66" s="19" t="s">
        <v>24</v>
      </c>
      <c r="D66" s="37"/>
      <c r="E66" s="30"/>
      <c r="F66" s="43"/>
      <c r="G66" s="43"/>
      <c r="H66" s="36"/>
      <c r="I66" s="36"/>
      <c r="J66" s="36"/>
    </row>
    <row r="67" spans="1:26">
      <c r="D67" s="37"/>
      <c r="E67" s="30"/>
      <c r="F67" s="43"/>
      <c r="G67" s="43"/>
      <c r="H67" s="36"/>
      <c r="I67" s="36"/>
      <c r="J67" s="36"/>
    </row>
    <row r="68" spans="1:26">
      <c r="A68" s="298" t="s">
        <v>116</v>
      </c>
      <c r="B68" s="298"/>
      <c r="C68" s="298"/>
      <c r="D68" s="298"/>
      <c r="E68" s="298"/>
      <c r="F68" s="298"/>
      <c r="G68" s="298"/>
      <c r="H68" s="298"/>
      <c r="I68" s="298"/>
      <c r="J68" s="298"/>
      <c r="K68" s="298"/>
      <c r="L68" s="298"/>
      <c r="M68" s="298"/>
    </row>
    <row r="69" spans="1:26">
      <c r="A69" s="298"/>
      <c r="B69" s="298"/>
      <c r="C69" s="298"/>
      <c r="D69" s="298"/>
      <c r="E69" s="298"/>
      <c r="F69" s="298"/>
      <c r="G69" s="298"/>
      <c r="H69" s="298"/>
      <c r="I69" s="298"/>
      <c r="J69" s="298"/>
      <c r="K69" s="298"/>
      <c r="L69" s="298"/>
      <c r="M69" s="298"/>
    </row>
    <row r="70" spans="1:26">
      <c r="D70" s="37"/>
      <c r="E70" s="30"/>
      <c r="F70" s="43"/>
      <c r="G70" s="43"/>
      <c r="H70" s="36"/>
      <c r="I70" s="36"/>
      <c r="J70" s="36"/>
    </row>
    <row r="71" spans="1:26">
      <c r="D71" s="37"/>
      <c r="E71" s="30"/>
      <c r="F71" s="43"/>
      <c r="G71" s="43"/>
      <c r="H71" s="36"/>
      <c r="I71" s="36"/>
      <c r="J71" s="36"/>
      <c r="P71" s="19"/>
      <c r="Q71" s="19"/>
      <c r="R71" s="19"/>
      <c r="S71" s="19"/>
      <c r="T71" s="19"/>
      <c r="U71" s="19"/>
      <c r="V71" s="19"/>
      <c r="Y71" s="19"/>
      <c r="Z71" s="19"/>
    </row>
    <row r="72" spans="1:26">
      <c r="D72" s="37"/>
      <c r="E72" s="30"/>
      <c r="F72" s="43"/>
      <c r="G72" s="43"/>
      <c r="H72" s="36"/>
      <c r="I72" s="36"/>
      <c r="J72" s="36"/>
      <c r="P72" s="19"/>
      <c r="Q72" s="19"/>
      <c r="R72" s="19"/>
      <c r="S72" s="19"/>
      <c r="T72" s="19"/>
      <c r="U72" s="19"/>
      <c r="V72" s="19"/>
      <c r="Y72" s="19"/>
      <c r="Z72" s="19"/>
    </row>
    <row r="73" spans="1:26">
      <c r="D73" s="37"/>
      <c r="E73" s="30"/>
      <c r="F73" s="43"/>
      <c r="G73" s="43"/>
      <c r="H73" s="36"/>
      <c r="I73" s="36"/>
      <c r="J73" s="36"/>
      <c r="P73" s="19"/>
      <c r="Q73" s="19"/>
      <c r="R73" s="19"/>
      <c r="S73" s="19"/>
      <c r="T73" s="19"/>
      <c r="U73" s="19"/>
      <c r="V73" s="19"/>
      <c r="Y73" s="19"/>
      <c r="Z73" s="19"/>
    </row>
    <row r="74" spans="1:26">
      <c r="D74" s="37"/>
      <c r="E74" s="30"/>
      <c r="F74" s="43"/>
      <c r="G74" s="43"/>
      <c r="H74" s="36"/>
      <c r="I74" s="36"/>
      <c r="J74" s="36"/>
      <c r="P74" s="19"/>
      <c r="Q74" s="19"/>
      <c r="R74" s="19"/>
      <c r="S74" s="19"/>
      <c r="T74" s="19"/>
      <c r="U74" s="19"/>
      <c r="V74" s="19"/>
      <c r="Y74" s="19"/>
      <c r="Z74" s="19"/>
    </row>
    <row r="75" spans="1:26">
      <c r="A75" s="17" t="s">
        <v>2</v>
      </c>
      <c r="D75" s="37"/>
      <c r="E75" s="30"/>
      <c r="F75" s="43"/>
      <c r="G75" s="43"/>
      <c r="H75" s="36"/>
      <c r="I75" s="36"/>
      <c r="J75" s="36"/>
      <c r="P75" s="19"/>
      <c r="Q75" s="19"/>
      <c r="R75" s="19"/>
      <c r="S75" s="19"/>
      <c r="T75" s="19"/>
      <c r="U75" s="19"/>
      <c r="V75" s="19"/>
      <c r="Y75" s="19"/>
      <c r="Z75" s="19"/>
    </row>
    <row r="76" spans="1:26">
      <c r="C76" s="44" t="s">
        <v>100</v>
      </c>
      <c r="D76" s="45" t="s">
        <v>25</v>
      </c>
      <c r="E76" s="30"/>
      <c r="F76" s="43"/>
      <c r="G76" s="43"/>
      <c r="H76" s="36"/>
      <c r="I76" s="36"/>
      <c r="J76" s="36"/>
      <c r="O76" s="72"/>
      <c r="P76" s="154"/>
      <c r="Q76" s="154"/>
      <c r="R76" s="154"/>
      <c r="S76" s="19"/>
      <c r="T76" s="19"/>
      <c r="U76" s="19"/>
      <c r="V76" s="19"/>
      <c r="Y76" s="19"/>
      <c r="Z76" s="19"/>
    </row>
    <row r="77" spans="1:26">
      <c r="C77" s="44" t="s">
        <v>101</v>
      </c>
      <c r="D77" s="45" t="s">
        <v>27</v>
      </c>
      <c r="E77" s="30"/>
      <c r="F77" s="43"/>
      <c r="G77" s="43"/>
      <c r="H77" s="36"/>
      <c r="I77" s="36"/>
      <c r="J77" s="36"/>
      <c r="O77" s="199"/>
      <c r="P77" s="155"/>
      <c r="Q77" s="154"/>
      <c r="R77" s="154"/>
      <c r="S77" s="19"/>
      <c r="T77" s="19"/>
      <c r="U77" s="19"/>
      <c r="V77" s="19"/>
      <c r="W77" s="19"/>
      <c r="X77" s="19"/>
      <c r="Y77" s="19"/>
      <c r="Z77" s="19"/>
    </row>
    <row r="78" spans="1:26">
      <c r="C78" s="17" t="s">
        <v>26</v>
      </c>
      <c r="D78" s="45" t="s">
        <v>76</v>
      </c>
      <c r="E78" s="30"/>
      <c r="F78" s="43"/>
      <c r="G78" s="43"/>
      <c r="H78" s="36"/>
      <c r="I78" s="36"/>
      <c r="J78" s="36"/>
      <c r="O78" s="72"/>
      <c r="P78" s="155"/>
      <c r="Q78" s="154"/>
      <c r="R78" s="154"/>
      <c r="S78" s="19"/>
      <c r="T78" s="19"/>
      <c r="U78" s="19"/>
      <c r="V78" s="19"/>
      <c r="W78" s="19"/>
      <c r="X78" s="19"/>
      <c r="Y78" s="19"/>
      <c r="Z78" s="19"/>
    </row>
    <row r="79" spans="1:26" ht="13.5">
      <c r="C79" s="46" t="s">
        <v>102</v>
      </c>
      <c r="D79" s="45" t="s">
        <v>28</v>
      </c>
      <c r="E79" s="30"/>
      <c r="F79" s="43"/>
      <c r="G79" s="43"/>
      <c r="H79" s="36"/>
      <c r="I79" s="36"/>
      <c r="J79" s="36"/>
      <c r="O79" s="72"/>
      <c r="P79" s="155"/>
      <c r="Q79" s="154"/>
      <c r="R79" s="154"/>
    </row>
    <row r="80" spans="1:26">
      <c r="C80" s="17" t="s">
        <v>29</v>
      </c>
      <c r="D80" s="45" t="s">
        <v>30</v>
      </c>
      <c r="E80" s="30"/>
      <c r="F80" s="43"/>
      <c r="G80" s="43"/>
      <c r="H80" s="36"/>
      <c r="I80" s="36"/>
      <c r="J80" s="36"/>
      <c r="O80" s="72"/>
      <c r="P80" s="72"/>
      <c r="Q80" s="72"/>
      <c r="R80" s="72"/>
    </row>
    <row r="81" spans="1:240">
      <c r="C81" s="17" t="s">
        <v>31</v>
      </c>
      <c r="D81" s="45" t="s">
        <v>32</v>
      </c>
      <c r="E81" s="30"/>
      <c r="F81" s="43"/>
      <c r="G81" s="43"/>
      <c r="H81" s="36"/>
      <c r="I81" s="36"/>
      <c r="J81" s="36"/>
      <c r="O81" s="72"/>
      <c r="P81" s="72"/>
      <c r="Q81" s="72"/>
      <c r="R81" s="72"/>
      <c r="S81" s="301" t="s">
        <v>50</v>
      </c>
      <c r="T81" s="301" t="s">
        <v>51</v>
      </c>
      <c r="U81" s="301"/>
      <c r="V81" s="301"/>
      <c r="W81" s="301"/>
      <c r="X81" s="301"/>
      <c r="Y81" s="301"/>
      <c r="Z81" s="301"/>
      <c r="AA81" s="301"/>
    </row>
    <row r="82" spans="1:240">
      <c r="D82" s="45" t="s">
        <v>33</v>
      </c>
      <c r="E82" s="30"/>
      <c r="F82" s="43"/>
      <c r="G82" s="43"/>
      <c r="H82" s="36"/>
      <c r="I82" s="36"/>
      <c r="J82" s="36"/>
      <c r="O82" s="19"/>
      <c r="S82" s="301"/>
      <c r="T82" s="116">
        <v>1.25</v>
      </c>
      <c r="U82" s="116">
        <v>1.5</v>
      </c>
      <c r="V82" s="116">
        <v>1.75</v>
      </c>
      <c r="W82" s="116">
        <v>2</v>
      </c>
      <c r="X82" s="116">
        <v>2.5</v>
      </c>
      <c r="Y82" s="116">
        <v>3</v>
      </c>
      <c r="Z82" s="116">
        <v>4</v>
      </c>
      <c r="AA82" s="116">
        <v>5</v>
      </c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/>
      <c r="CX82" s="19"/>
      <c r="CY82" s="19"/>
      <c r="CZ82" s="19"/>
      <c r="DA82" s="19"/>
      <c r="DB82" s="19"/>
      <c r="DC82" s="19"/>
      <c r="DD82" s="19"/>
      <c r="DE82" s="19"/>
      <c r="DF82" s="19"/>
      <c r="DG82" s="19"/>
      <c r="DH82" s="19"/>
      <c r="DI82" s="19"/>
      <c r="DJ82" s="19"/>
      <c r="DK82" s="19"/>
      <c r="DL82" s="19"/>
      <c r="DM82" s="19"/>
      <c r="DN82" s="19"/>
      <c r="DO82" s="19"/>
      <c r="DP82" s="19"/>
      <c r="DQ82" s="19"/>
      <c r="DR82" s="19"/>
      <c r="DS82" s="19"/>
      <c r="DT82" s="19"/>
      <c r="DU82" s="19"/>
      <c r="DV82" s="19"/>
      <c r="DW82" s="19"/>
      <c r="DX82" s="19"/>
      <c r="DY82" s="19"/>
      <c r="DZ82" s="19"/>
      <c r="EA82" s="19"/>
      <c r="EB82" s="19"/>
      <c r="EC82" s="19"/>
      <c r="ED82" s="19"/>
      <c r="EE82" s="19"/>
      <c r="EF82" s="19"/>
      <c r="EG82" s="19"/>
      <c r="EH82" s="19"/>
      <c r="EI82" s="19"/>
      <c r="EJ82" s="19"/>
      <c r="EK82" s="19"/>
      <c r="EL82" s="19"/>
      <c r="EM82" s="19"/>
      <c r="EN82" s="19"/>
      <c r="EO82" s="19"/>
      <c r="EP82" s="19"/>
      <c r="EQ82" s="19"/>
      <c r="ER82" s="19"/>
      <c r="ES82" s="19"/>
      <c r="ET82" s="19"/>
      <c r="EU82" s="19"/>
      <c r="EV82" s="19"/>
      <c r="EW82" s="19"/>
      <c r="EX82" s="19"/>
      <c r="EY82" s="19"/>
      <c r="EZ82" s="19"/>
      <c r="FA82" s="19"/>
      <c r="FB82" s="19"/>
      <c r="FC82" s="19"/>
      <c r="FD82" s="19"/>
      <c r="FE82" s="19"/>
      <c r="FF82" s="19"/>
      <c r="FG82" s="19"/>
      <c r="FH82" s="19"/>
      <c r="FI82" s="19"/>
      <c r="FJ82" s="19"/>
      <c r="FK82" s="19"/>
      <c r="FL82" s="19"/>
      <c r="FM82" s="19"/>
      <c r="FN82" s="19"/>
      <c r="FO82" s="19"/>
      <c r="FP82" s="19"/>
      <c r="FQ82" s="19"/>
      <c r="FR82" s="19"/>
      <c r="FS82" s="19"/>
      <c r="FT82" s="19"/>
      <c r="FU82" s="19"/>
      <c r="FV82" s="19"/>
      <c r="FW82" s="19"/>
      <c r="FX82" s="19"/>
      <c r="FY82" s="19"/>
      <c r="FZ82" s="19"/>
      <c r="GA82" s="19"/>
      <c r="GB82" s="19"/>
      <c r="GC82" s="19"/>
      <c r="GD82" s="19"/>
      <c r="GE82" s="19"/>
      <c r="GF82" s="19"/>
      <c r="GG82" s="19"/>
      <c r="GH82" s="19"/>
      <c r="GI82" s="19"/>
      <c r="GJ82" s="19"/>
      <c r="GK82" s="19"/>
      <c r="GL82" s="19"/>
      <c r="GM82" s="19"/>
      <c r="GN82" s="19"/>
      <c r="GO82" s="19"/>
      <c r="GP82" s="19"/>
      <c r="GQ82" s="19"/>
      <c r="GR82" s="19"/>
      <c r="GS82" s="19"/>
      <c r="GT82" s="19"/>
      <c r="GU82" s="19"/>
      <c r="GV82" s="19"/>
      <c r="GW82" s="19"/>
      <c r="GX82" s="19"/>
      <c r="GY82" s="19"/>
      <c r="GZ82" s="19"/>
      <c r="HA82" s="19"/>
      <c r="HB82" s="19"/>
      <c r="HC82" s="19"/>
      <c r="HD82" s="19"/>
      <c r="HE82" s="19"/>
      <c r="HF82" s="19"/>
      <c r="HG82" s="19"/>
      <c r="HH82" s="19"/>
      <c r="HI82" s="19"/>
      <c r="HJ82" s="19"/>
      <c r="HK82" s="19"/>
      <c r="HL82" s="19"/>
      <c r="HM82" s="19"/>
      <c r="HN82" s="19"/>
      <c r="HO82" s="19"/>
      <c r="HP82" s="19"/>
      <c r="HQ82" s="19"/>
      <c r="HR82" s="19"/>
      <c r="HS82" s="19"/>
      <c r="HT82" s="19"/>
      <c r="HU82" s="19"/>
      <c r="HV82" s="19"/>
      <c r="HW82" s="19"/>
      <c r="HX82" s="19"/>
      <c r="HY82" s="19"/>
      <c r="HZ82" s="19"/>
      <c r="IA82" s="19"/>
      <c r="IB82" s="19"/>
      <c r="IC82" s="19"/>
      <c r="ID82" s="19"/>
      <c r="IE82" s="19"/>
      <c r="IF82" s="19"/>
    </row>
    <row r="83" spans="1:240">
      <c r="C83" s="17" t="s">
        <v>34</v>
      </c>
      <c r="D83" s="45" t="s">
        <v>35</v>
      </c>
      <c r="E83" s="30"/>
      <c r="F83" s="43"/>
      <c r="G83" s="43"/>
      <c r="H83" s="36"/>
      <c r="I83" s="36"/>
      <c r="J83" s="36"/>
      <c r="O83" s="19"/>
      <c r="S83" s="196">
        <v>5.0000000000000001E-3</v>
      </c>
      <c r="T83" s="21">
        <v>0.02</v>
      </c>
      <c r="U83" s="21">
        <v>0.05</v>
      </c>
      <c r="V83" s="21">
        <v>0.08</v>
      </c>
      <c r="W83" s="21">
        <v>0.12</v>
      </c>
      <c r="X83" s="21">
        <v>0.23</v>
      </c>
      <c r="Y83" s="21">
        <v>0.43</v>
      </c>
      <c r="Z83" s="21">
        <v>0.72</v>
      </c>
      <c r="AA83" s="21">
        <v>1</v>
      </c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19"/>
      <c r="CY83" s="19"/>
      <c r="CZ83" s="19"/>
      <c r="DA83" s="19"/>
      <c r="DB83" s="19"/>
      <c r="DC83" s="19"/>
      <c r="DD83" s="19"/>
      <c r="DE83" s="19"/>
      <c r="DF83" s="19"/>
      <c r="DG83" s="19"/>
      <c r="DH83" s="19"/>
      <c r="DI83" s="19"/>
      <c r="DJ83" s="19"/>
      <c r="DK83" s="19"/>
      <c r="DL83" s="19"/>
      <c r="DM83" s="19"/>
      <c r="DN83" s="19"/>
      <c r="DO83" s="19"/>
      <c r="DP83" s="19"/>
      <c r="DQ83" s="19"/>
      <c r="DR83" s="19"/>
      <c r="DS83" s="19"/>
      <c r="DT83" s="19"/>
      <c r="DU83" s="19"/>
      <c r="DV83" s="19"/>
      <c r="DW83" s="19"/>
      <c r="DX83" s="19"/>
      <c r="DY83" s="19"/>
      <c r="DZ83" s="19"/>
      <c r="EA83" s="19"/>
      <c r="EB83" s="19"/>
      <c r="EC83" s="19"/>
      <c r="ED83" s="19"/>
      <c r="EE83" s="19"/>
      <c r="EF83" s="19"/>
      <c r="EG83" s="19"/>
      <c r="EH83" s="19"/>
      <c r="EI83" s="19"/>
      <c r="EJ83" s="19"/>
      <c r="EK83" s="19"/>
      <c r="EL83" s="19"/>
      <c r="EM83" s="19"/>
      <c r="EN83" s="19"/>
      <c r="EO83" s="19"/>
      <c r="EP83" s="19"/>
      <c r="EQ83" s="19"/>
      <c r="ER83" s="19"/>
      <c r="ES83" s="19"/>
      <c r="ET83" s="19"/>
      <c r="EU83" s="19"/>
      <c r="EV83" s="19"/>
      <c r="EW83" s="19"/>
      <c r="EX83" s="19"/>
      <c r="EY83" s="19"/>
      <c r="EZ83" s="19"/>
      <c r="FA83" s="19"/>
      <c r="FB83" s="19"/>
      <c r="FC83" s="19"/>
      <c r="FD83" s="19"/>
      <c r="FE83" s="19"/>
      <c r="FF83" s="19"/>
      <c r="FG83" s="19"/>
      <c r="FH83" s="19"/>
      <c r="FI83" s="19"/>
      <c r="FJ83" s="19"/>
      <c r="FK83" s="19"/>
      <c r="FL83" s="19"/>
      <c r="FM83" s="19"/>
      <c r="FN83" s="19"/>
      <c r="FO83" s="19"/>
      <c r="FP83" s="19"/>
      <c r="FQ83" s="19"/>
      <c r="FR83" s="19"/>
      <c r="FS83" s="19"/>
      <c r="FT83" s="19"/>
      <c r="FU83" s="19"/>
      <c r="FV83" s="19"/>
      <c r="FW83" s="19"/>
      <c r="FX83" s="19"/>
      <c r="FY83" s="19"/>
      <c r="FZ83" s="19"/>
      <c r="GA83" s="19"/>
      <c r="GB83" s="19"/>
      <c r="GC83" s="19"/>
      <c r="GD83" s="19"/>
      <c r="GE83" s="19"/>
      <c r="GF83" s="19"/>
      <c r="GG83" s="19"/>
      <c r="GH83" s="19"/>
      <c r="GI83" s="19"/>
      <c r="GJ83" s="19"/>
      <c r="GK83" s="19"/>
      <c r="GL83" s="19"/>
      <c r="GM83" s="19"/>
      <c r="GN83" s="19"/>
      <c r="GO83" s="19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19"/>
      <c r="HI83" s="19"/>
      <c r="HJ83" s="19"/>
      <c r="HK83" s="19"/>
      <c r="HL83" s="19"/>
      <c r="HM83" s="19"/>
      <c r="HN83" s="19"/>
      <c r="HO83" s="19"/>
      <c r="HP83" s="19"/>
      <c r="HQ83" s="19"/>
      <c r="HR83" s="19"/>
      <c r="HS83" s="19"/>
      <c r="HT83" s="19"/>
      <c r="HU83" s="19"/>
      <c r="HV83" s="19"/>
      <c r="HW83" s="19"/>
      <c r="HX83" s="19"/>
      <c r="HY83" s="19"/>
      <c r="HZ83" s="19"/>
      <c r="IA83" s="19"/>
      <c r="IB83" s="19"/>
      <c r="IC83" s="19"/>
      <c r="ID83" s="19"/>
      <c r="IE83" s="19"/>
      <c r="IF83" s="19"/>
    </row>
    <row r="84" spans="1:240">
      <c r="C84" s="17" t="s">
        <v>36</v>
      </c>
      <c r="D84" s="45" t="s">
        <v>37</v>
      </c>
      <c r="E84" s="30"/>
      <c r="F84" s="43"/>
      <c r="G84" s="43"/>
      <c r="H84" s="36"/>
      <c r="I84" s="36"/>
      <c r="J84" s="36"/>
      <c r="O84" s="19"/>
      <c r="S84" s="196">
        <v>0.01</v>
      </c>
      <c r="T84" s="21">
        <v>0.03</v>
      </c>
      <c r="U84" s="21">
        <v>7.0000000000000007E-2</v>
      </c>
      <c r="V84" s="21">
        <v>0.11</v>
      </c>
      <c r="W84" s="21">
        <v>0.15</v>
      </c>
      <c r="X84" s="21">
        <v>0.27</v>
      </c>
      <c r="Y84" s="21">
        <v>0.47</v>
      </c>
      <c r="Z84" s="21">
        <v>0.74</v>
      </c>
      <c r="AA84" s="21">
        <v>1</v>
      </c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  <c r="HN84" s="19"/>
      <c r="HO84" s="19"/>
      <c r="HP84" s="19"/>
      <c r="HQ84" s="19"/>
      <c r="HR84" s="19"/>
      <c r="HS84" s="19"/>
      <c r="HT84" s="19"/>
      <c r="HU84" s="19"/>
      <c r="HV84" s="19"/>
      <c r="HW84" s="19"/>
      <c r="HX84" s="19"/>
      <c r="HY84" s="19"/>
      <c r="HZ84" s="19"/>
      <c r="IA84" s="19"/>
      <c r="IB84" s="19"/>
      <c r="IC84" s="19"/>
      <c r="ID84" s="19"/>
      <c r="IE84" s="19"/>
      <c r="IF84" s="19"/>
    </row>
    <row r="85" spans="1:240" ht="13.5">
      <c r="C85" s="17" t="s">
        <v>38</v>
      </c>
      <c r="D85" s="45" t="s">
        <v>103</v>
      </c>
      <c r="E85" s="30"/>
      <c r="F85" s="43"/>
      <c r="G85" s="43"/>
      <c r="H85" s="36"/>
      <c r="I85" s="36"/>
      <c r="J85" s="36"/>
      <c r="O85" s="19"/>
      <c r="S85" s="196">
        <v>0.02</v>
      </c>
      <c r="T85" s="21">
        <v>0.05</v>
      </c>
      <c r="U85" s="21">
        <v>0.1</v>
      </c>
      <c r="V85" s="21">
        <v>0.15</v>
      </c>
      <c r="W85" s="21">
        <v>0.2</v>
      </c>
      <c r="X85" s="21">
        <v>0.32</v>
      </c>
      <c r="Y85" s="21">
        <v>0.52</v>
      </c>
      <c r="Z85" s="21">
        <v>0.77</v>
      </c>
      <c r="AA85" s="21">
        <v>1</v>
      </c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  <c r="HN85" s="19"/>
      <c r="HO85" s="19"/>
      <c r="HP85" s="19"/>
      <c r="HQ85" s="19"/>
      <c r="HR85" s="19"/>
      <c r="HS85" s="19"/>
      <c r="HT85" s="19"/>
      <c r="HU85" s="19"/>
      <c r="HV85" s="19"/>
      <c r="HW85" s="19"/>
      <c r="HX85" s="19"/>
      <c r="HY85" s="19"/>
      <c r="HZ85" s="19"/>
      <c r="IA85" s="19"/>
      <c r="IB85" s="19"/>
      <c r="IC85" s="19"/>
      <c r="ID85" s="19"/>
      <c r="IE85" s="19"/>
    </row>
    <row r="86" spans="1:240">
      <c r="C86" s="17" t="s">
        <v>39</v>
      </c>
      <c r="D86" s="45" t="s">
        <v>40</v>
      </c>
      <c r="E86" s="30"/>
      <c r="F86" s="43"/>
      <c r="G86" s="43"/>
      <c r="H86" s="36"/>
      <c r="I86" s="36"/>
      <c r="J86" s="36"/>
      <c r="O86" s="19"/>
      <c r="S86" s="196">
        <v>0.05</v>
      </c>
      <c r="T86" s="21">
        <v>0.1</v>
      </c>
      <c r="U86" s="21">
        <v>0.15</v>
      </c>
      <c r="V86" s="21">
        <v>0.2</v>
      </c>
      <c r="W86" s="21">
        <v>0.27</v>
      </c>
      <c r="X86" s="21">
        <v>0.38</v>
      </c>
      <c r="Y86" s="21">
        <v>0.57999999999999996</v>
      </c>
      <c r="Z86" s="21">
        <v>0.8</v>
      </c>
      <c r="AA86" s="21">
        <v>1</v>
      </c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  <c r="HM86" s="19"/>
      <c r="HN86" s="19"/>
      <c r="HO86" s="19"/>
      <c r="HP86" s="19"/>
      <c r="HQ86" s="19"/>
      <c r="HR86" s="19"/>
      <c r="HS86" s="19"/>
      <c r="HT86" s="19"/>
      <c r="HU86" s="19"/>
      <c r="HV86" s="19"/>
      <c r="HW86" s="19"/>
      <c r="HX86" s="19"/>
      <c r="HY86" s="19"/>
      <c r="HZ86" s="19"/>
      <c r="IA86" s="19"/>
      <c r="IB86" s="19"/>
      <c r="IC86" s="19"/>
      <c r="ID86" s="19"/>
      <c r="IE86" s="19"/>
      <c r="IF86" s="19"/>
    </row>
    <row r="87" spans="1:240">
      <c r="D87" s="45" t="s">
        <v>199</v>
      </c>
      <c r="E87" s="30"/>
      <c r="F87" s="43"/>
      <c r="G87" s="43"/>
      <c r="H87" s="36"/>
      <c r="I87" s="36"/>
      <c r="J87" s="36"/>
      <c r="O87" s="19"/>
      <c r="S87" s="115">
        <v>0.1</v>
      </c>
      <c r="T87" s="21">
        <v>0.15</v>
      </c>
      <c r="U87" s="21">
        <v>0.2</v>
      </c>
      <c r="V87" s="21">
        <v>0.27</v>
      </c>
      <c r="W87" s="21">
        <v>0.35</v>
      </c>
      <c r="X87" s="21">
        <v>0.46</v>
      </c>
      <c r="Y87" s="21">
        <v>0.65</v>
      </c>
      <c r="Z87" s="21">
        <v>0.84</v>
      </c>
      <c r="AA87" s="21">
        <v>1</v>
      </c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  <c r="HK87" s="19"/>
      <c r="HL87" s="19"/>
      <c r="HM87" s="19"/>
      <c r="HN87" s="19"/>
      <c r="HO87" s="19"/>
      <c r="HP87" s="19"/>
      <c r="HQ87" s="19"/>
      <c r="HR87" s="19"/>
      <c r="HS87" s="19"/>
      <c r="HT87" s="19"/>
      <c r="HU87" s="19"/>
      <c r="HV87" s="19"/>
      <c r="HW87" s="19"/>
      <c r="HX87" s="19"/>
      <c r="HY87" s="19"/>
      <c r="HZ87" s="19"/>
      <c r="IA87" s="19"/>
      <c r="IB87" s="19"/>
      <c r="IC87" s="19"/>
      <c r="ID87" s="19"/>
      <c r="IE87" s="19"/>
      <c r="IF87" s="19"/>
    </row>
    <row r="88" spans="1:240">
      <c r="D88" s="45" t="s">
        <v>200</v>
      </c>
      <c r="E88" s="30"/>
      <c r="F88" s="43"/>
      <c r="G88" s="43"/>
      <c r="H88" s="36"/>
      <c r="I88" s="36"/>
      <c r="J88" s="36"/>
      <c r="O88" s="19"/>
      <c r="S88" s="115">
        <v>0.2</v>
      </c>
      <c r="T88" s="21">
        <v>0.25</v>
      </c>
      <c r="U88" s="21">
        <v>0.3</v>
      </c>
      <c r="V88" s="21">
        <v>0.38</v>
      </c>
      <c r="W88" s="21">
        <v>0.47</v>
      </c>
      <c r="X88" s="21">
        <v>0.57999999999999996</v>
      </c>
      <c r="Y88" s="21">
        <v>0.75</v>
      </c>
      <c r="Z88" s="21">
        <v>0.88</v>
      </c>
      <c r="AA88" s="21">
        <v>1</v>
      </c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  <c r="HO88" s="19"/>
      <c r="HP88" s="19"/>
      <c r="HQ88" s="19"/>
      <c r="HR88" s="19"/>
      <c r="HS88" s="19"/>
      <c r="HT88" s="19"/>
      <c r="HU88" s="19"/>
      <c r="HV88" s="19"/>
      <c r="HW88" s="19"/>
      <c r="HX88" s="19"/>
      <c r="HY88" s="19"/>
      <c r="HZ88" s="19"/>
      <c r="IA88" s="19"/>
      <c r="IB88" s="19"/>
      <c r="IC88" s="19"/>
      <c r="ID88" s="19"/>
      <c r="IE88" s="19"/>
      <c r="IF88" s="19"/>
    </row>
    <row r="89" spans="1:240">
      <c r="D89" s="45" t="s">
        <v>201</v>
      </c>
      <c r="E89" s="30"/>
      <c r="F89" s="43"/>
      <c r="G89" s="43"/>
      <c r="H89" s="36"/>
      <c r="I89" s="36"/>
      <c r="J89" s="36"/>
      <c r="O89" s="19"/>
      <c r="S89" s="115">
        <v>0.4</v>
      </c>
      <c r="T89" s="21">
        <v>0.45</v>
      </c>
      <c r="U89" s="21">
        <v>0.5</v>
      </c>
      <c r="V89" s="21">
        <v>0.56000000000000005</v>
      </c>
      <c r="W89" s="21">
        <v>0.64</v>
      </c>
      <c r="X89" s="21">
        <v>0.75</v>
      </c>
      <c r="Y89" s="21">
        <v>0.85</v>
      </c>
      <c r="Z89" s="21">
        <v>0.93</v>
      </c>
      <c r="AA89" s="21">
        <v>1</v>
      </c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</row>
    <row r="90" spans="1:240">
      <c r="D90" s="45"/>
      <c r="E90" s="30"/>
      <c r="F90" s="43"/>
      <c r="G90" s="43"/>
      <c r="H90" s="36"/>
      <c r="I90" s="36"/>
      <c r="J90" s="36"/>
      <c r="O90" s="19"/>
      <c r="S90" s="115">
        <v>0.6</v>
      </c>
      <c r="T90" s="21">
        <v>0.65</v>
      </c>
      <c r="U90" s="21">
        <v>0.7</v>
      </c>
      <c r="V90" s="21">
        <v>0.75</v>
      </c>
      <c r="W90" s="21">
        <v>0.81</v>
      </c>
      <c r="X90" s="21">
        <v>0.87</v>
      </c>
      <c r="Y90" s="21">
        <v>0.94</v>
      </c>
      <c r="Z90" s="21">
        <v>0.98</v>
      </c>
      <c r="AA90" s="21">
        <v>1</v>
      </c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</row>
    <row r="91" spans="1:240">
      <c r="D91" s="37"/>
      <c r="E91" s="30"/>
      <c r="F91" s="43"/>
      <c r="G91" s="43"/>
      <c r="H91" s="36"/>
      <c r="I91" s="36"/>
      <c r="J91" s="36"/>
      <c r="O91" s="196" t="s">
        <v>198</v>
      </c>
      <c r="P91" s="196" t="s">
        <v>46</v>
      </c>
      <c r="Q91" s="196" t="s">
        <v>197</v>
      </c>
      <c r="S91" s="115">
        <v>0.8</v>
      </c>
      <c r="T91" s="21">
        <v>0.84</v>
      </c>
      <c r="U91" s="21">
        <v>0.87</v>
      </c>
      <c r="V91" s="21">
        <v>0.9</v>
      </c>
      <c r="W91" s="21">
        <v>0.93</v>
      </c>
      <c r="X91" s="21">
        <v>0.96</v>
      </c>
      <c r="Y91" s="21">
        <v>0.98</v>
      </c>
      <c r="Z91" s="21">
        <v>1</v>
      </c>
      <c r="AA91" s="21">
        <v>1</v>
      </c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  <c r="HY91" s="19"/>
      <c r="HZ91" s="19"/>
      <c r="IA91" s="19"/>
      <c r="IB91" s="19"/>
      <c r="IC91" s="19"/>
      <c r="ID91" s="19"/>
      <c r="IE91" s="19"/>
      <c r="IF91" s="19"/>
    </row>
    <row r="92" spans="1:240">
      <c r="A92" s="17" t="s">
        <v>41</v>
      </c>
      <c r="I92" s="36"/>
      <c r="J92" s="36"/>
      <c r="O92" s="198">
        <v>1</v>
      </c>
      <c r="P92" s="198">
        <v>0.105</v>
      </c>
      <c r="Q92" s="198">
        <v>14000</v>
      </c>
      <c r="S92" s="115">
        <v>1</v>
      </c>
      <c r="T92" s="21">
        <v>1</v>
      </c>
      <c r="U92" s="21">
        <v>1</v>
      </c>
      <c r="V92" s="21">
        <v>1</v>
      </c>
      <c r="W92" s="21">
        <v>1</v>
      </c>
      <c r="X92" s="21">
        <v>1</v>
      </c>
      <c r="Y92" s="21">
        <v>1</v>
      </c>
      <c r="Z92" s="21">
        <v>1</v>
      </c>
      <c r="AA92" s="21">
        <v>1</v>
      </c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  <c r="HM92" s="19"/>
      <c r="HN92" s="19"/>
      <c r="HO92" s="19"/>
      <c r="HP92" s="19"/>
      <c r="HQ92" s="19"/>
      <c r="HR92" s="19"/>
      <c r="HS92" s="19"/>
      <c r="HT92" s="19"/>
      <c r="HU92" s="19"/>
      <c r="HV92" s="19"/>
      <c r="HW92" s="19"/>
      <c r="HX92" s="19"/>
      <c r="HY92" s="19"/>
      <c r="HZ92" s="19"/>
      <c r="IA92" s="19"/>
      <c r="IB92" s="19"/>
      <c r="IC92" s="19"/>
      <c r="ID92" s="19"/>
      <c r="IE92" s="19"/>
      <c r="IF92" s="19"/>
    </row>
    <row r="93" spans="1:240">
      <c r="C93" s="47"/>
      <c r="I93" s="36"/>
      <c r="J93" s="36"/>
      <c r="O93" s="117">
        <v>2</v>
      </c>
      <c r="P93" s="117">
        <v>0.1</v>
      </c>
      <c r="Q93" s="117">
        <v>11000</v>
      </c>
      <c r="S93" s="115">
        <v>1.5</v>
      </c>
      <c r="T93" s="21">
        <v>1.4</v>
      </c>
      <c r="U93" s="21">
        <v>1.3</v>
      </c>
      <c r="V93" s="21">
        <v>1.2</v>
      </c>
      <c r="W93" s="21">
        <v>1.1200000000000001</v>
      </c>
      <c r="X93" s="21">
        <v>1.06</v>
      </c>
      <c r="Y93" s="21">
        <v>1.03</v>
      </c>
      <c r="Z93" s="21">
        <v>1</v>
      </c>
      <c r="AA93" s="21">
        <v>1</v>
      </c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</row>
    <row r="94" spans="1:240" ht="13.5">
      <c r="B94" s="48" t="s">
        <v>102</v>
      </c>
      <c r="C94" s="49"/>
      <c r="D94" s="41">
        <v>1.5</v>
      </c>
      <c r="E94" s="72"/>
      <c r="F94" s="72"/>
      <c r="G94" s="72"/>
      <c r="H94" s="72"/>
      <c r="I94" s="36"/>
      <c r="J94" s="36"/>
      <c r="K94" s="72"/>
      <c r="L94" s="72"/>
      <c r="O94" s="198">
        <v>3</v>
      </c>
      <c r="P94" s="198">
        <v>9.6000000000000002E-2</v>
      </c>
      <c r="Q94" s="198">
        <v>4000</v>
      </c>
      <c r="S94" s="115">
        <v>2</v>
      </c>
      <c r="T94" s="21">
        <v>1.7</v>
      </c>
      <c r="U94" s="21">
        <v>1.5</v>
      </c>
      <c r="V94" s="21">
        <v>1.4</v>
      </c>
      <c r="W94" s="21">
        <v>1.3</v>
      </c>
      <c r="X94" s="21">
        <v>1.2</v>
      </c>
      <c r="Y94" s="21">
        <v>1.1000000000000001</v>
      </c>
      <c r="Z94" s="21">
        <v>1.05</v>
      </c>
      <c r="AA94" s="21">
        <v>1</v>
      </c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  <c r="HO94" s="19"/>
      <c r="HP94" s="19"/>
      <c r="HQ94" s="19"/>
      <c r="HR94" s="19"/>
      <c r="HS94" s="19"/>
      <c r="HT94" s="19"/>
      <c r="HU94" s="19"/>
      <c r="HV94" s="19"/>
      <c r="HW94" s="19"/>
      <c r="HX94" s="19"/>
      <c r="HY94" s="19"/>
      <c r="HZ94" s="19"/>
      <c r="IA94" s="19"/>
      <c r="IB94" s="19"/>
      <c r="IC94" s="19"/>
      <c r="ID94" s="19"/>
      <c r="IE94" s="19"/>
      <c r="IF94" s="19"/>
    </row>
    <row r="95" spans="1:240" ht="13.5">
      <c r="B95" s="50" t="s">
        <v>104</v>
      </c>
      <c r="C95" s="51"/>
      <c r="D95" s="53">
        <f>0.149*57</f>
        <v>8.4930000000000003</v>
      </c>
      <c r="E95" s="123" t="s">
        <v>42</v>
      </c>
      <c r="F95" s="72"/>
      <c r="G95" s="72"/>
      <c r="H95" s="72"/>
      <c r="I95" s="36"/>
      <c r="J95" s="36"/>
      <c r="K95" s="72"/>
      <c r="L95" s="72"/>
      <c r="O95" s="198">
        <v>4</v>
      </c>
      <c r="P95" s="198">
        <v>0.1</v>
      </c>
      <c r="Q95" s="198">
        <v>16000</v>
      </c>
      <c r="S95" s="115">
        <v>3</v>
      </c>
      <c r="T95" s="21">
        <v>2.2000000000000002</v>
      </c>
      <c r="U95" s="21">
        <v>1.8</v>
      </c>
      <c r="V95" s="21">
        <v>1.65</v>
      </c>
      <c r="W95" s="21">
        <v>1.5</v>
      </c>
      <c r="X95" s="21">
        <v>1.35</v>
      </c>
      <c r="Y95" s="21">
        <v>1.2</v>
      </c>
      <c r="Z95" s="21">
        <v>1.1000000000000001</v>
      </c>
      <c r="AA95" s="21">
        <v>1</v>
      </c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  <c r="HK95" s="19"/>
      <c r="HL95" s="19"/>
      <c r="HM95" s="19"/>
      <c r="HN95" s="19"/>
      <c r="HO95" s="19"/>
      <c r="HP95" s="19"/>
      <c r="HQ95" s="19"/>
      <c r="HR95" s="19"/>
      <c r="HS95" s="19"/>
      <c r="HT95" s="19"/>
      <c r="HU95" s="19"/>
      <c r="HV95" s="19"/>
      <c r="HW95" s="19"/>
      <c r="HX95" s="19"/>
      <c r="HY95" s="19"/>
      <c r="HZ95" s="19"/>
      <c r="IA95" s="19"/>
      <c r="IB95" s="19"/>
      <c r="IC95" s="19"/>
      <c r="ID95" s="19"/>
      <c r="IE95" s="19"/>
      <c r="IF95" s="19"/>
    </row>
    <row r="96" spans="1:240" ht="13.5">
      <c r="B96" s="50" t="s">
        <v>105</v>
      </c>
      <c r="C96" s="51"/>
      <c r="D96" s="54">
        <f>D95/14.21*100</f>
        <v>59.767769176636165</v>
      </c>
      <c r="E96" s="123" t="s">
        <v>43</v>
      </c>
      <c r="F96" s="123"/>
      <c r="G96" s="123"/>
      <c r="H96" s="123"/>
      <c r="I96" s="60"/>
      <c r="J96" s="60"/>
      <c r="K96" s="123"/>
      <c r="L96" s="72"/>
      <c r="S96" s="115">
        <v>5</v>
      </c>
      <c r="T96" s="21">
        <v>3</v>
      </c>
      <c r="U96" s="21">
        <v>2.2000000000000002</v>
      </c>
      <c r="V96" s="21">
        <v>1.9</v>
      </c>
      <c r="W96" s="21">
        <v>1.7</v>
      </c>
      <c r="X96" s="21">
        <v>1.5</v>
      </c>
      <c r="Y96" s="21">
        <v>1.3</v>
      </c>
      <c r="Z96" s="21">
        <v>1.1499999999999999</v>
      </c>
      <c r="AA96" s="21">
        <v>1</v>
      </c>
    </row>
    <row r="97" spans="1:25" ht="13.5">
      <c r="B97" s="50" t="s">
        <v>104</v>
      </c>
      <c r="C97" s="51"/>
      <c r="D97" s="53">
        <f>0.149*28</f>
        <v>4.1719999999999997</v>
      </c>
      <c r="E97" s="123" t="s">
        <v>132</v>
      </c>
      <c r="F97" s="123"/>
      <c r="G97" s="123"/>
      <c r="H97" s="123"/>
      <c r="I97" s="60"/>
      <c r="J97" s="60"/>
      <c r="K97" s="123"/>
      <c r="L97" s="72"/>
    </row>
    <row r="98" spans="1:25" ht="13.5">
      <c r="B98" s="50" t="s">
        <v>105</v>
      </c>
      <c r="C98" s="51"/>
      <c r="D98" s="54">
        <f>D97/14.21*100</f>
        <v>29.359605911330043</v>
      </c>
      <c r="E98" s="123" t="s">
        <v>44</v>
      </c>
      <c r="F98" s="123"/>
      <c r="G98" s="123"/>
      <c r="H98" s="123"/>
      <c r="I98" s="60"/>
      <c r="J98" s="60"/>
      <c r="K98" s="123"/>
      <c r="L98" s="72"/>
    </row>
    <row r="99" spans="1:25" ht="13.5">
      <c r="B99" s="50" t="s">
        <v>213</v>
      </c>
      <c r="C99" s="49"/>
      <c r="D99" s="55">
        <v>50600</v>
      </c>
      <c r="E99" s="123" t="s">
        <v>329</v>
      </c>
      <c r="F99" s="123"/>
      <c r="G99" s="123"/>
      <c r="H99" s="123"/>
      <c r="I99" s="60"/>
      <c r="J99" s="60"/>
      <c r="K99" s="123"/>
      <c r="L99" s="72"/>
    </row>
    <row r="100" spans="1:25" s="56" customFormat="1">
      <c r="D100" s="57"/>
      <c r="E100" s="58"/>
      <c r="F100" s="59"/>
      <c r="G100" s="59"/>
      <c r="H100" s="60"/>
      <c r="I100" s="60"/>
      <c r="J100" s="60"/>
      <c r="S100" s="17"/>
      <c r="W100" s="17"/>
      <c r="X100" s="17"/>
    </row>
    <row r="101" spans="1:25" s="31" customFormat="1" ht="25.5">
      <c r="B101" s="202" t="str">
        <f>B$40</f>
        <v>Pozo de</v>
      </c>
      <c r="C101" s="202" t="str">
        <f>C$40</f>
        <v>Pozo a</v>
      </c>
      <c r="D101" s="202" t="s">
        <v>130</v>
      </c>
      <c r="E101" s="202" t="s">
        <v>208</v>
      </c>
      <c r="F101" s="202" t="str">
        <f>I40</f>
        <v>Ancho zanja
Bd (m)</v>
      </c>
      <c r="G101" s="142" t="s">
        <v>212</v>
      </c>
      <c r="H101" s="143" t="s">
        <v>46</v>
      </c>
      <c r="I101" s="202" t="s">
        <v>226</v>
      </c>
      <c r="J101" s="204" t="s">
        <v>47</v>
      </c>
      <c r="K101" s="202" t="s">
        <v>227</v>
      </c>
      <c r="L101" s="144" t="s">
        <v>228</v>
      </c>
      <c r="N101" s="17" t="s">
        <v>50</v>
      </c>
      <c r="O101" s="17" t="s">
        <v>51</v>
      </c>
      <c r="P101" s="61"/>
      <c r="Q101" s="61"/>
      <c r="R101" s="61"/>
      <c r="S101" s="61"/>
      <c r="T101" s="61"/>
      <c r="U101" s="61"/>
      <c r="V101" s="17"/>
      <c r="W101" s="17"/>
      <c r="X101" s="61"/>
      <c r="Y101" s="61"/>
    </row>
    <row r="102" spans="1:25" s="74" customFormat="1">
      <c r="B102" s="140" t="str">
        <f>+B64</f>
        <v>CR-02</v>
      </c>
      <c r="C102" s="140">
        <f>+C64</f>
        <v>131835</v>
      </c>
      <c r="D102" s="135">
        <f>+D64</f>
        <v>9.9</v>
      </c>
      <c r="E102" s="135">
        <f>+F64</f>
        <v>0.2732</v>
      </c>
      <c r="F102" s="135">
        <f>+H64</f>
        <v>1</v>
      </c>
      <c r="G102" s="135">
        <f>K41+L64</f>
        <v>29.792416716663656</v>
      </c>
      <c r="H102" s="132">
        <v>0.1</v>
      </c>
      <c r="I102" s="156">
        <v>11000</v>
      </c>
      <c r="J102" s="52">
        <f>+V108</f>
        <v>1.19</v>
      </c>
      <c r="K102" s="140">
        <f t="shared" ref="K102" si="9">I102*J102</f>
        <v>13090</v>
      </c>
      <c r="L102" s="135">
        <f t="shared" ref="L102" si="10">(($D$94*H102*G102)/(IF(E102&lt;=0.5,$D$96,$D$98)+(0.061*K102)))*100</f>
        <v>0.52069001505069057</v>
      </c>
      <c r="M102" s="81"/>
      <c r="N102" s="81">
        <f t="shared" ref="N102" si="11">$D$99/I102</f>
        <v>4.5999999999999996</v>
      </c>
      <c r="O102" s="81">
        <f t="shared" ref="O102" si="12">F102/E102</f>
        <v>3.6603221083455346</v>
      </c>
      <c r="P102" s="82"/>
      <c r="Q102" s="82"/>
      <c r="R102" s="83"/>
      <c r="S102" s="82"/>
      <c r="T102" s="83"/>
      <c r="U102" s="83"/>
      <c r="V102" s="83"/>
      <c r="W102" s="83"/>
      <c r="X102" s="84"/>
      <c r="Y102" s="84"/>
    </row>
    <row r="103" spans="1:25" s="74" customFormat="1" ht="11.25">
      <c r="N103" s="81"/>
      <c r="O103" s="81"/>
      <c r="P103" s="82"/>
      <c r="Q103" s="82"/>
      <c r="R103" s="83"/>
      <c r="S103" s="82"/>
      <c r="T103" s="83"/>
      <c r="U103" s="83"/>
      <c r="V103" s="83"/>
      <c r="W103" s="83"/>
      <c r="X103" s="84"/>
      <c r="Y103" s="84"/>
    </row>
    <row r="104" spans="1:25" ht="37.5" customHeight="1">
      <c r="A104" s="288" t="s">
        <v>106</v>
      </c>
      <c r="B104" s="288"/>
      <c r="C104" s="288"/>
      <c r="D104" s="288"/>
      <c r="E104" s="288"/>
      <c r="F104" s="288"/>
      <c r="G104" s="288"/>
      <c r="H104" s="288"/>
      <c r="I104" s="288"/>
      <c r="J104" s="288"/>
      <c r="K104" s="288"/>
      <c r="L104" s="288"/>
      <c r="M104" s="288"/>
      <c r="V104" s="83"/>
      <c r="W104" s="83"/>
    </row>
    <row r="105" spans="1:25">
      <c r="V105" s="83"/>
      <c r="W105" s="83"/>
    </row>
    <row r="106" spans="1:25">
      <c r="A106" s="19" t="s">
        <v>60</v>
      </c>
      <c r="O106" s="198" t="s">
        <v>50</v>
      </c>
      <c r="P106" s="198" t="s">
        <v>47</v>
      </c>
      <c r="R106" s="235" t="s">
        <v>50</v>
      </c>
      <c r="S106" s="235" t="s">
        <v>47</v>
      </c>
      <c r="U106" s="235" t="s">
        <v>51</v>
      </c>
      <c r="V106" s="235" t="s">
        <v>47</v>
      </c>
      <c r="W106" s="83"/>
    </row>
    <row r="107" spans="1:25">
      <c r="O107" s="235">
        <v>3</v>
      </c>
      <c r="P107" s="235">
        <v>1.2</v>
      </c>
      <c r="R107" s="235">
        <v>3</v>
      </c>
      <c r="S107" s="235">
        <v>1.1000000000000001</v>
      </c>
      <c r="U107" s="235">
        <v>3</v>
      </c>
      <c r="V107" s="235">
        <f>+P108</f>
        <v>1.28</v>
      </c>
      <c r="W107" s="83"/>
    </row>
    <row r="108" spans="1:25">
      <c r="A108" s="298" t="s">
        <v>115</v>
      </c>
      <c r="B108" s="298"/>
      <c r="C108" s="298"/>
      <c r="D108" s="298"/>
      <c r="E108" s="298"/>
      <c r="F108" s="298"/>
      <c r="G108" s="298"/>
      <c r="H108" s="298"/>
      <c r="I108" s="298"/>
      <c r="J108" s="298"/>
      <c r="K108" s="298"/>
      <c r="L108" s="298"/>
      <c r="M108" s="298"/>
      <c r="O108" s="236">
        <v>4.5999999999999996</v>
      </c>
      <c r="P108" s="237">
        <v>1.28</v>
      </c>
      <c r="R108" s="236">
        <v>4.5999999999999996</v>
      </c>
      <c r="S108" s="237">
        <v>1.1399999999999999</v>
      </c>
      <c r="U108" s="236">
        <v>3.66</v>
      </c>
      <c r="V108" s="238">
        <v>1.19</v>
      </c>
    </row>
    <row r="109" spans="1:25">
      <c r="A109" s="298"/>
      <c r="B109" s="298"/>
      <c r="C109" s="298"/>
      <c r="D109" s="298"/>
      <c r="E109" s="298"/>
      <c r="F109" s="298"/>
      <c r="G109" s="298"/>
      <c r="H109" s="298"/>
      <c r="I109" s="298"/>
      <c r="J109" s="298"/>
      <c r="K109" s="298"/>
      <c r="L109" s="298"/>
      <c r="M109" s="298"/>
      <c r="O109" s="235">
        <v>5</v>
      </c>
      <c r="P109" s="235">
        <v>1.3</v>
      </c>
      <c r="R109" s="235">
        <v>5</v>
      </c>
      <c r="S109" s="235">
        <v>1.1499999999999999</v>
      </c>
      <c r="U109" s="235">
        <v>4</v>
      </c>
      <c r="V109" s="235">
        <f>+S108</f>
        <v>1.1399999999999999</v>
      </c>
    </row>
    <row r="110" spans="1:25">
      <c r="O110" s="301" t="s">
        <v>327</v>
      </c>
      <c r="P110" s="301"/>
      <c r="R110" s="293" t="s">
        <v>328</v>
      </c>
      <c r="S110" s="294"/>
      <c r="U110" s="293" t="s">
        <v>328</v>
      </c>
      <c r="V110" s="294"/>
    </row>
    <row r="115" spans="3:10">
      <c r="C115" s="17" t="s">
        <v>2</v>
      </c>
    </row>
    <row r="116" spans="3:10">
      <c r="C116" s="62" t="s">
        <v>61</v>
      </c>
      <c r="D116" s="17" t="s">
        <v>216</v>
      </c>
    </row>
    <row r="117" spans="3:10">
      <c r="C117" s="62"/>
      <c r="D117" s="17" t="s">
        <v>214</v>
      </c>
    </row>
    <row r="118" spans="3:10">
      <c r="C118" s="62"/>
      <c r="D118" s="17" t="s">
        <v>215</v>
      </c>
    </row>
    <row r="119" spans="3:10">
      <c r="C119" s="62" t="s">
        <v>62</v>
      </c>
      <c r="D119" s="17" t="s">
        <v>217</v>
      </c>
    </row>
    <row r="120" spans="3:10">
      <c r="C120" s="62"/>
      <c r="D120" s="17" t="s">
        <v>219</v>
      </c>
    </row>
    <row r="121" spans="3:10">
      <c r="C121" s="62"/>
      <c r="D121" s="17" t="s">
        <v>218</v>
      </c>
    </row>
    <row r="122" spans="3:10">
      <c r="C122" s="62" t="s">
        <v>63</v>
      </c>
      <c r="D122" s="17" t="s">
        <v>220</v>
      </c>
    </row>
    <row r="123" spans="3:10">
      <c r="C123" s="62" t="s">
        <v>64</v>
      </c>
      <c r="D123" s="17" t="s">
        <v>65</v>
      </c>
    </row>
    <row r="124" spans="3:10" ht="17.25" customHeight="1">
      <c r="C124" s="62"/>
      <c r="D124" s="17" t="s">
        <v>107</v>
      </c>
    </row>
    <row r="125" spans="3:10">
      <c r="C125" s="62" t="s">
        <v>66</v>
      </c>
      <c r="D125" s="17" t="s">
        <v>221</v>
      </c>
    </row>
    <row r="126" spans="3:10">
      <c r="C126" s="62"/>
      <c r="D126" s="56"/>
    </row>
    <row r="127" spans="3:10" ht="13.5">
      <c r="D127" s="48" t="s">
        <v>108</v>
      </c>
      <c r="E127" s="49"/>
      <c r="F127" s="53">
        <f>D96/8</f>
        <v>7.4709711470795206</v>
      </c>
      <c r="G127" s="123" t="str">
        <f>E96</f>
        <v>Para tuberías PVC Novafort</v>
      </c>
      <c r="H127" s="72"/>
      <c r="I127" s="60"/>
      <c r="J127" s="72"/>
    </row>
    <row r="128" spans="3:10" ht="13.5">
      <c r="D128" s="48" t="s">
        <v>108</v>
      </c>
      <c r="E128" s="49"/>
      <c r="F128" s="53">
        <f>D98/8</f>
        <v>3.6699507389162553</v>
      </c>
      <c r="G128" s="123" t="s">
        <v>44</v>
      </c>
      <c r="H128" s="72"/>
      <c r="I128" s="60"/>
      <c r="J128" s="72"/>
    </row>
    <row r="129" spans="1:24">
      <c r="D129" s="48" t="s">
        <v>67</v>
      </c>
      <c r="E129" s="49"/>
      <c r="F129" s="53">
        <v>4.72</v>
      </c>
      <c r="G129" s="72" t="s">
        <v>68</v>
      </c>
      <c r="H129" s="72"/>
      <c r="I129" s="72"/>
      <c r="J129" s="72"/>
    </row>
    <row r="131" spans="1:24" s="31" customFormat="1" ht="13.5">
      <c r="B131" s="274" t="str">
        <f>B$40</f>
        <v>Pozo de</v>
      </c>
      <c r="C131" s="274" t="str">
        <f>C$40</f>
        <v>Pozo a</v>
      </c>
      <c r="D131" s="274" t="s">
        <v>130</v>
      </c>
      <c r="E131" s="274" t="s">
        <v>208</v>
      </c>
      <c r="F131" s="274" t="s">
        <v>207</v>
      </c>
      <c r="G131" s="202" t="s">
        <v>9</v>
      </c>
      <c r="H131" s="202" t="s">
        <v>45</v>
      </c>
      <c r="I131" s="274" t="s">
        <v>69</v>
      </c>
      <c r="J131" s="274" t="s">
        <v>70</v>
      </c>
      <c r="K131" s="274" t="s">
        <v>71</v>
      </c>
      <c r="L131" s="202" t="s">
        <v>229</v>
      </c>
      <c r="W131" s="17"/>
      <c r="X131" s="17"/>
    </row>
    <row r="132" spans="1:24">
      <c r="B132" s="275"/>
      <c r="C132" s="275"/>
      <c r="D132" s="275"/>
      <c r="E132" s="287"/>
      <c r="F132" s="287"/>
      <c r="G132" s="146" t="s">
        <v>16</v>
      </c>
      <c r="H132" s="147" t="s">
        <v>49</v>
      </c>
      <c r="I132" s="275"/>
      <c r="J132" s="275"/>
      <c r="K132" s="275"/>
      <c r="L132" s="203" t="s">
        <v>72</v>
      </c>
    </row>
    <row r="133" spans="1:24" s="74" customFormat="1">
      <c r="B133" s="140" t="str">
        <f>+B102</f>
        <v>CR-02</v>
      </c>
      <c r="C133" s="140">
        <f>+C102</f>
        <v>131835</v>
      </c>
      <c r="D133" s="135">
        <f>+D102</f>
        <v>9.9</v>
      </c>
      <c r="E133" s="135">
        <f>+E102</f>
        <v>0.2732</v>
      </c>
      <c r="F133" s="135">
        <f>+G64</f>
        <v>1.8</v>
      </c>
      <c r="G133" s="135">
        <f>+F102</f>
        <v>1</v>
      </c>
      <c r="H133" s="135">
        <f>+G102</f>
        <v>29.792416716663656</v>
      </c>
      <c r="I133" s="28">
        <f t="shared" ref="I133" si="13">IF(F133/E133&gt;=2,2.5,3)</f>
        <v>2.5</v>
      </c>
      <c r="J133" s="28">
        <f t="shared" ref="J133" si="14">IF($F$129&lt;=F133,1-0.33*($F$129/F133),1)</f>
        <v>1</v>
      </c>
      <c r="K133" s="135">
        <f t="shared" ref="K133" si="15">1/(1+4*EXP(-0.2133*F133))</f>
        <v>0.26847877776832885</v>
      </c>
      <c r="L133" s="135">
        <f>1/I133*SQRT(32*J133*K133*K102*IF(E133&lt;=0.5,$F$127,$F$128))</f>
        <v>366.64715072751096</v>
      </c>
      <c r="W133" s="76"/>
      <c r="X133" s="76"/>
    </row>
    <row r="134" spans="1:24" s="74" customFormat="1"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</row>
    <row r="135" spans="1:24">
      <c r="A135" s="17" t="s">
        <v>73</v>
      </c>
      <c r="H135" s="63"/>
    </row>
    <row r="136" spans="1:24">
      <c r="H136" s="63"/>
    </row>
    <row r="137" spans="1:24">
      <c r="H137" s="63"/>
    </row>
    <row r="138" spans="1:24">
      <c r="H138" s="63"/>
    </row>
    <row r="139" spans="1:24">
      <c r="H139" s="63"/>
    </row>
    <row r="140" spans="1:24">
      <c r="H140" s="63"/>
    </row>
    <row r="142" spans="1:24" s="31" customFormat="1" ht="27" customHeight="1">
      <c r="C142" s="202" t="str">
        <f>B$40</f>
        <v>Pozo de</v>
      </c>
      <c r="D142" s="202" t="str">
        <f>C$40</f>
        <v>Pozo a</v>
      </c>
      <c r="E142" s="202" t="s">
        <v>222</v>
      </c>
      <c r="F142" s="204" t="s">
        <v>204</v>
      </c>
      <c r="G142" s="202" t="s">
        <v>207</v>
      </c>
      <c r="H142" s="202" t="s">
        <v>206</v>
      </c>
      <c r="I142" s="202" t="s">
        <v>211</v>
      </c>
      <c r="J142" s="202" t="s">
        <v>230</v>
      </c>
      <c r="K142" s="202" t="s">
        <v>231</v>
      </c>
      <c r="W142" s="17"/>
      <c r="X142" s="17"/>
    </row>
    <row r="143" spans="1:24" s="74" customFormat="1">
      <c r="C143" s="135" t="str">
        <f>+B133</f>
        <v>CR-02</v>
      </c>
      <c r="D143" s="135">
        <f>+C133</f>
        <v>131835</v>
      </c>
      <c r="E143" s="135">
        <f>+D133</f>
        <v>9.9</v>
      </c>
      <c r="F143" s="135">
        <f>+E133</f>
        <v>0.2732</v>
      </c>
      <c r="G143" s="135">
        <f>+F133</f>
        <v>1.8</v>
      </c>
      <c r="H143" s="135">
        <f>+K41</f>
        <v>9.8352000000000004</v>
      </c>
      <c r="I143" s="135">
        <f>+L64</f>
        <v>19.957216716663655</v>
      </c>
      <c r="J143" s="135">
        <f>10*IF(G143&gt;$F$129,G143-$F$129,0)+(J133*H143/F143)+I143/F143</f>
        <v>109.04984156904706</v>
      </c>
      <c r="K143" s="135" t="str">
        <f>IF(J143&lt;L133,"OK","NO CUMPLE")</f>
        <v>OK</v>
      </c>
    </row>
    <row r="144" spans="1:24" s="74" customFormat="1" ht="11.25"/>
    <row r="145" spans="1:22">
      <c r="A145" s="64" t="s">
        <v>74</v>
      </c>
      <c r="B145" s="65"/>
      <c r="C145" s="65"/>
      <c r="D145" s="65"/>
      <c r="E145" s="65"/>
      <c r="F145" s="65"/>
      <c r="G145" s="65"/>
    </row>
    <row r="146" spans="1:22">
      <c r="A146" s="65"/>
      <c r="B146" s="65"/>
      <c r="C146" s="65"/>
      <c r="D146" s="65"/>
      <c r="E146" s="65"/>
      <c r="F146" s="65"/>
      <c r="G146" s="65"/>
    </row>
    <row r="147" spans="1:22">
      <c r="A147" s="65" t="s">
        <v>109</v>
      </c>
      <c r="B147" s="65"/>
      <c r="C147" s="65"/>
      <c r="D147" s="65"/>
      <c r="E147" s="65"/>
      <c r="F147" s="65"/>
      <c r="G147" s="65"/>
    </row>
    <row r="148" spans="1:22">
      <c r="A148" s="65"/>
      <c r="B148" s="65"/>
      <c r="C148" s="65"/>
      <c r="D148" s="65"/>
      <c r="E148" s="65"/>
      <c r="F148" s="65"/>
      <c r="G148" s="65"/>
    </row>
    <row r="149" spans="1:22">
      <c r="A149" s="1"/>
      <c r="B149" s="65"/>
      <c r="C149" s="65"/>
      <c r="D149" s="65"/>
      <c r="E149" s="65"/>
      <c r="F149" s="65"/>
      <c r="G149" s="65"/>
    </row>
    <row r="150" spans="1:22">
      <c r="A150" s="65"/>
      <c r="B150" s="65"/>
      <c r="C150" s="65"/>
      <c r="D150" s="65"/>
      <c r="E150" s="65"/>
      <c r="F150" s="65"/>
      <c r="G150" s="65"/>
    </row>
    <row r="151" spans="1:22">
      <c r="A151" s="65"/>
      <c r="B151" s="65"/>
      <c r="C151" s="65"/>
      <c r="D151" s="65"/>
      <c r="E151" s="65"/>
      <c r="F151" s="65"/>
      <c r="G151" s="65"/>
    </row>
    <row r="152" spans="1:22">
      <c r="A152" s="65" t="s">
        <v>2</v>
      </c>
      <c r="B152" s="65"/>
      <c r="C152" s="65"/>
      <c r="D152" s="65"/>
      <c r="E152" s="65"/>
      <c r="F152" s="65"/>
      <c r="G152" s="65"/>
    </row>
    <row r="153" spans="1:22" ht="13.5">
      <c r="A153" s="65"/>
      <c r="B153" s="66" t="s">
        <v>110</v>
      </c>
      <c r="C153" s="67" t="s">
        <v>75</v>
      </c>
      <c r="D153" s="67"/>
      <c r="E153" s="65"/>
      <c r="F153" s="65"/>
      <c r="G153" s="65"/>
    </row>
    <row r="154" spans="1:22">
      <c r="A154" s="65"/>
      <c r="B154" s="66" t="s">
        <v>26</v>
      </c>
      <c r="C154" s="67" t="s">
        <v>76</v>
      </c>
      <c r="D154" s="65"/>
      <c r="E154" s="65"/>
      <c r="F154" s="65"/>
      <c r="G154" s="65"/>
    </row>
    <row r="155" spans="1:22" ht="13.5">
      <c r="A155" s="65"/>
      <c r="B155" s="66" t="s">
        <v>77</v>
      </c>
      <c r="C155" s="65" t="s">
        <v>111</v>
      </c>
      <c r="D155" s="65"/>
      <c r="E155" s="65"/>
      <c r="F155" s="65"/>
      <c r="G155" s="65"/>
    </row>
    <row r="156" spans="1:22">
      <c r="A156" s="65"/>
      <c r="B156" s="65"/>
      <c r="C156" s="65"/>
      <c r="D156" s="65"/>
      <c r="E156" s="65"/>
      <c r="F156" s="65"/>
      <c r="G156" s="65"/>
    </row>
    <row r="157" spans="1:22" ht="14.25">
      <c r="A157" s="65" t="s">
        <v>112</v>
      </c>
      <c r="B157" s="65"/>
      <c r="C157" s="65"/>
      <c r="D157" s="65"/>
      <c r="E157" s="65"/>
      <c r="F157" s="65"/>
      <c r="G157" s="65"/>
    </row>
    <row r="158" spans="1:22">
      <c r="B158" s="65"/>
      <c r="C158" s="65"/>
      <c r="D158" s="65"/>
      <c r="E158" s="65"/>
      <c r="F158" s="65"/>
      <c r="G158" s="65"/>
      <c r="H158" s="65"/>
    </row>
    <row r="159" spans="1:22" ht="25.5">
      <c r="D159" s="149" t="str">
        <f>B40</f>
        <v>Pozo de</v>
      </c>
      <c r="E159" s="149" t="str">
        <f>C40</f>
        <v>Pozo a</v>
      </c>
      <c r="F159" s="202" t="str">
        <f>E40</f>
        <v>Diám Nominal (in)</v>
      </c>
      <c r="G159" s="202" t="s">
        <v>208</v>
      </c>
      <c r="H159" s="149" t="s">
        <v>212</v>
      </c>
      <c r="I159" s="150" t="s">
        <v>232</v>
      </c>
      <c r="J159" s="150" t="s">
        <v>233</v>
      </c>
      <c r="O159" s="199"/>
      <c r="P159" s="199"/>
      <c r="Q159" s="199"/>
      <c r="R159" s="199"/>
      <c r="S159" s="199"/>
      <c r="T159" s="199"/>
      <c r="U159" s="199"/>
      <c r="V159" s="199"/>
    </row>
    <row r="160" spans="1:22" s="74" customFormat="1">
      <c r="D160" s="151" t="str">
        <f>+C143</f>
        <v>CR-02</v>
      </c>
      <c r="E160" s="151">
        <f>+D143</f>
        <v>131835</v>
      </c>
      <c r="F160" s="151">
        <f>+E41</f>
        <v>10</v>
      </c>
      <c r="G160" s="152">
        <f>+F143</f>
        <v>0.2732</v>
      </c>
      <c r="H160" s="152">
        <f>+I143+H143</f>
        <v>29.792416716663656</v>
      </c>
      <c r="I160" s="152">
        <f t="shared" ref="I160" si="16">2*H160/(PI()*G160)</f>
        <v>69.423285316407558</v>
      </c>
      <c r="J160" s="152" t="str">
        <f t="shared" ref="J160" si="17">IF(I160&lt;67500,"OK","Falta")</f>
        <v>OK</v>
      </c>
    </row>
    <row r="161" spans="1:13" s="74" customFormat="1">
      <c r="D161" s="218"/>
      <c r="E161" s="218"/>
      <c r="F161" s="218"/>
      <c r="G161" s="219"/>
      <c r="H161" s="219"/>
      <c r="I161" s="219"/>
      <c r="J161" s="219"/>
    </row>
    <row r="162" spans="1:13" s="74" customFormat="1">
      <c r="A162" s="64" t="s">
        <v>240</v>
      </c>
    </row>
    <row r="163" spans="1:13" s="74" customFormat="1">
      <c r="A163" s="65"/>
    </row>
    <row r="164" spans="1:13" s="74" customFormat="1" ht="35.25" customHeight="1">
      <c r="A164" s="292" t="s">
        <v>379</v>
      </c>
      <c r="B164" s="292"/>
      <c r="C164" s="292"/>
      <c r="D164" s="292"/>
      <c r="E164" s="292"/>
      <c r="F164" s="292"/>
      <c r="G164" s="292"/>
      <c r="H164" s="292"/>
      <c r="I164" s="292"/>
      <c r="J164" s="292"/>
      <c r="K164" s="292"/>
      <c r="L164" s="292"/>
      <c r="M164" s="292"/>
    </row>
    <row r="165" spans="1:13" s="74" customFormat="1">
      <c r="A165" s="65"/>
    </row>
    <row r="166" spans="1:13" s="74" customFormat="1" ht="11.25" customHeight="1">
      <c r="D166" s="286" t="s">
        <v>125</v>
      </c>
      <c r="E166" s="286" t="s">
        <v>126</v>
      </c>
      <c r="F166" s="286" t="s">
        <v>134</v>
      </c>
      <c r="G166" s="279" t="s">
        <v>191</v>
      </c>
      <c r="H166" s="299" t="s">
        <v>135</v>
      </c>
      <c r="I166" s="286" t="s">
        <v>131</v>
      </c>
    </row>
    <row r="167" spans="1:13" s="74" customFormat="1" ht="11.25" customHeight="1">
      <c r="D167" s="287"/>
      <c r="E167" s="287"/>
      <c r="F167" s="287"/>
      <c r="G167" s="279"/>
      <c r="H167" s="300"/>
      <c r="I167" s="287"/>
    </row>
    <row r="168" spans="1:13" s="74" customFormat="1">
      <c r="D168" s="90" t="str">
        <f>+B64</f>
        <v>CR-02</v>
      </c>
      <c r="E168" s="90">
        <f>+C64</f>
        <v>131835</v>
      </c>
      <c r="F168" s="21">
        <f>+G64</f>
        <v>1.8</v>
      </c>
      <c r="G168" s="21">
        <f>+P41</f>
        <v>2.1732</v>
      </c>
      <c r="H168" s="153" t="str">
        <f t="shared" ref="H168" si="18">+IF(G168&gt;0.5,"NO","SI")</f>
        <v>NO</v>
      </c>
      <c r="I168" s="198" t="s">
        <v>380</v>
      </c>
    </row>
    <row r="170" spans="1:13">
      <c r="A170" s="64" t="s">
        <v>398</v>
      </c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</row>
    <row r="171" spans="1:13">
      <c r="A171" s="65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</row>
    <row r="172" spans="1:13">
      <c r="A172" s="17" t="s">
        <v>392</v>
      </c>
    </row>
    <row r="196" spans="2:13">
      <c r="B196" s="279" t="s">
        <v>128</v>
      </c>
      <c r="C196" s="279" t="s">
        <v>129</v>
      </c>
      <c r="D196" s="317" t="s">
        <v>48</v>
      </c>
      <c r="E196" s="317" t="s">
        <v>16</v>
      </c>
      <c r="F196" s="317" t="s">
        <v>134</v>
      </c>
      <c r="G196" s="279" t="s">
        <v>191</v>
      </c>
      <c r="H196" s="279" t="s">
        <v>393</v>
      </c>
      <c r="I196" s="279" t="s">
        <v>394</v>
      </c>
      <c r="J196" s="279" t="s">
        <v>395</v>
      </c>
      <c r="K196" s="279" t="s">
        <v>396</v>
      </c>
      <c r="L196" s="279" t="s">
        <v>397</v>
      </c>
    </row>
    <row r="197" spans="2:13">
      <c r="B197" s="279"/>
      <c r="C197" s="279"/>
      <c r="D197" s="317"/>
      <c r="E197" s="317"/>
      <c r="F197" s="317"/>
      <c r="G197" s="279"/>
      <c r="H197" s="279"/>
      <c r="I197" s="279"/>
      <c r="J197" s="279"/>
      <c r="K197" s="279"/>
      <c r="L197" s="279"/>
    </row>
    <row r="198" spans="2:13">
      <c r="B198" s="90" t="str">
        <f>+D168</f>
        <v>CR-02</v>
      </c>
      <c r="C198" s="90">
        <f>+E168</f>
        <v>131835</v>
      </c>
      <c r="D198" s="21">
        <f>+F143</f>
        <v>0.2732</v>
      </c>
      <c r="E198" s="21">
        <f>+G133</f>
        <v>1</v>
      </c>
      <c r="F198" s="21">
        <f>+F168</f>
        <v>1.8</v>
      </c>
      <c r="G198" s="21">
        <f>+G168</f>
        <v>2.1732</v>
      </c>
      <c r="H198" s="21">
        <v>0.1</v>
      </c>
      <c r="I198" s="21">
        <f>+D198*0.6</f>
        <v>0.16391999999999998</v>
      </c>
      <c r="J198" s="21">
        <f>(0.4*D198)+0.3</f>
        <v>0.40927999999999998</v>
      </c>
      <c r="K198" s="21">
        <f>G198-J198-I198-H198-L198</f>
        <v>1</v>
      </c>
      <c r="L198" s="21">
        <v>0.5</v>
      </c>
    </row>
    <row r="200" spans="2:13">
      <c r="C200" s="91"/>
      <c r="D200" s="91"/>
      <c r="E200" s="35"/>
      <c r="F200" s="35"/>
      <c r="J200" s="199"/>
      <c r="K200" s="199"/>
      <c r="L200" s="199"/>
      <c r="M200" s="199"/>
    </row>
    <row r="201" spans="2:13">
      <c r="J201" s="199"/>
      <c r="K201" s="199"/>
      <c r="L201" s="199"/>
      <c r="M201" s="199"/>
    </row>
    <row r="202" spans="2:13">
      <c r="J202" s="199"/>
      <c r="K202" s="199"/>
      <c r="L202" s="199"/>
      <c r="M202" s="199"/>
    </row>
    <row r="203" spans="2:13">
      <c r="J203" s="199"/>
      <c r="K203" s="199"/>
      <c r="L203" s="199"/>
      <c r="M203" s="199"/>
    </row>
    <row r="206" spans="2:13">
      <c r="K206" s="17" t="s">
        <v>136</v>
      </c>
    </row>
  </sheetData>
  <autoFilter ref="A40:M41" xr:uid="{00000000-0001-0000-0400-000000000000}"/>
  <mergeCells count="37">
    <mergeCell ref="A164:M164"/>
    <mergeCell ref="D166:D167"/>
    <mergeCell ref="E166:E167"/>
    <mergeCell ref="F166:F167"/>
    <mergeCell ref="G166:G167"/>
    <mergeCell ref="H166:H167"/>
    <mergeCell ref="I166:I167"/>
    <mergeCell ref="S81:S82"/>
    <mergeCell ref="T81:AA81"/>
    <mergeCell ref="A104:M104"/>
    <mergeCell ref="A108:M109"/>
    <mergeCell ref="B131:B132"/>
    <mergeCell ref="C131:C132"/>
    <mergeCell ref="D131:D132"/>
    <mergeCell ref="E131:E132"/>
    <mergeCell ref="F131:F132"/>
    <mergeCell ref="O110:P110"/>
    <mergeCell ref="U110:V110"/>
    <mergeCell ref="R110:S110"/>
    <mergeCell ref="A2:M2"/>
    <mergeCell ref="A3:M3"/>
    <mergeCell ref="C59:C61"/>
    <mergeCell ref="A68:M69"/>
    <mergeCell ref="I131:I132"/>
    <mergeCell ref="J131:J132"/>
    <mergeCell ref="K131:K132"/>
    <mergeCell ref="B196:B197"/>
    <mergeCell ref="C196:C197"/>
    <mergeCell ref="D196:D197"/>
    <mergeCell ref="E196:E197"/>
    <mergeCell ref="F196:F197"/>
    <mergeCell ref="L196:L197"/>
    <mergeCell ref="G196:G197"/>
    <mergeCell ref="H196:H197"/>
    <mergeCell ref="I196:I197"/>
    <mergeCell ref="J196:J197"/>
    <mergeCell ref="K196:K197"/>
  </mergeCells>
  <conditionalFormatting sqref="L102">
    <cfRule type="cellIs" dxfId="6" priority="1" stopIfTrue="1" operator="greaterThanOrEqual">
      <formula>5</formula>
    </cfRule>
  </conditionalFormatting>
  <printOptions horizontalCentered="1"/>
  <pageMargins left="0.78740157480314965" right="0.78740157480314965" top="1.1811023622047245" bottom="1.1811023622047245" header="0.78740157480314965" footer="0.78740157480314965"/>
  <pageSetup scale="61" fitToHeight="0" orientation="portrait" r:id="rId1"/>
  <rowBreaks count="2" manualBreakCount="2">
    <brk id="65" max="12" man="1"/>
    <brk id="134" max="12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3C376-3039-4505-A685-A360E3CF4D8E}">
  <sheetPr>
    <tabColor theme="6" tint="0.39997558519241921"/>
    <pageSetUpPr fitToPage="1"/>
  </sheetPr>
  <dimension ref="A2:IF208"/>
  <sheetViews>
    <sheetView view="pageBreakPreview" topLeftCell="A170" zoomScale="90" zoomScaleNormal="90" zoomScaleSheetLayoutView="90" workbookViewId="0">
      <selection activeCell="A2" sqref="A2:XFD3"/>
    </sheetView>
  </sheetViews>
  <sheetFormatPr baseColWidth="10" defaultColWidth="11.42578125" defaultRowHeight="12"/>
  <cols>
    <col min="1" max="2" width="9.140625" style="17" customWidth="1"/>
    <col min="3" max="3" width="9.5703125" style="17" customWidth="1"/>
    <col min="4" max="4" width="9.28515625" style="17" customWidth="1"/>
    <col min="5" max="5" width="12.140625" style="17" customWidth="1"/>
    <col min="6" max="6" width="12" style="17" customWidth="1"/>
    <col min="7" max="7" width="15.5703125" style="17" customWidth="1"/>
    <col min="8" max="8" width="12.7109375" style="17" customWidth="1"/>
    <col min="9" max="9" width="10.85546875" style="17" customWidth="1"/>
    <col min="10" max="10" width="11" style="17" customWidth="1"/>
    <col min="11" max="11" width="10.28515625" style="17" customWidth="1"/>
    <col min="12" max="12" width="12.5703125" style="17" customWidth="1"/>
    <col min="13" max="13" width="12.85546875" style="17" customWidth="1"/>
    <col min="14" max="14" width="11.42578125" style="17"/>
    <col min="15" max="16" width="11.85546875" style="17" bestFit="1" customWidth="1"/>
    <col min="17" max="17" width="11.85546875" style="17" customWidth="1"/>
    <col min="18" max="18" width="11.85546875" style="17" bestFit="1" customWidth="1"/>
    <col min="19" max="19" width="16.28515625" style="17" bestFit="1" customWidth="1"/>
    <col min="20" max="20" width="11.85546875" style="17" bestFit="1" customWidth="1"/>
    <col min="21" max="21" width="15.140625" style="17" customWidth="1"/>
    <col min="22" max="22" width="11.5703125" style="17" bestFit="1" customWidth="1"/>
    <col min="23" max="23" width="15" style="17" customWidth="1"/>
    <col min="24" max="24" width="11.5703125" style="17" bestFit="1" customWidth="1"/>
    <col min="25" max="16384" width="11.42578125" style="17"/>
  </cols>
  <sheetData>
    <row r="2" spans="1:13" ht="12.75" customHeight="1">
      <c r="A2" s="302" t="s">
        <v>236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3" spans="1:13" s="56" customFormat="1" ht="12.75" customHeight="1">
      <c r="A3" s="303" t="s">
        <v>341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</row>
    <row r="5" spans="1:13">
      <c r="A5" s="19" t="s">
        <v>78</v>
      </c>
    </row>
    <row r="7" spans="1:13">
      <c r="A7" s="19" t="s">
        <v>0</v>
      </c>
    </row>
    <row r="8" spans="1:13">
      <c r="A8" s="19"/>
    </row>
    <row r="9" spans="1:13">
      <c r="A9" s="19" t="s">
        <v>1</v>
      </c>
    </row>
    <row r="10" spans="1:13" ht="12.75" customHeight="1"/>
    <row r="11" spans="1:13" ht="12.75" customHeight="1"/>
    <row r="12" spans="1:13" ht="12.75" customHeight="1"/>
    <row r="13" spans="1:13">
      <c r="E13" s="20"/>
      <c r="F13" s="20"/>
      <c r="G13" s="18"/>
    </row>
    <row r="14" spans="1:13">
      <c r="D14" s="17" t="s">
        <v>2</v>
      </c>
    </row>
    <row r="15" spans="1:13">
      <c r="E15" s="20"/>
      <c r="F15" s="20"/>
      <c r="G15" s="18"/>
    </row>
    <row r="16" spans="1:13">
      <c r="E16" s="20"/>
      <c r="F16" s="20"/>
      <c r="G16" s="18"/>
    </row>
    <row r="17" spans="1:15">
      <c r="E17" s="20"/>
      <c r="F17" s="20"/>
      <c r="G17" s="18"/>
    </row>
    <row r="18" spans="1:15">
      <c r="E18" s="20"/>
      <c r="F18" s="20"/>
      <c r="G18" s="18"/>
    </row>
    <row r="19" spans="1:15">
      <c r="E19" s="20"/>
      <c r="F19" s="20"/>
      <c r="G19" s="18"/>
    </row>
    <row r="20" spans="1:15">
      <c r="E20" s="20"/>
      <c r="F20" s="20"/>
      <c r="G20" s="18"/>
    </row>
    <row r="21" spans="1:15">
      <c r="E21" s="20"/>
      <c r="F21" s="20"/>
      <c r="G21" s="18"/>
    </row>
    <row r="22" spans="1:15">
      <c r="E22" s="20"/>
      <c r="F22" s="20"/>
      <c r="G22" s="18"/>
    </row>
    <row r="23" spans="1:15" ht="7.5" customHeight="1">
      <c r="E23" s="20"/>
      <c r="F23" s="20"/>
      <c r="G23" s="18"/>
    </row>
    <row r="25" spans="1:15">
      <c r="A25" s="19" t="s">
        <v>3</v>
      </c>
      <c r="G25" s="18"/>
    </row>
    <row r="26" spans="1:15">
      <c r="G26" s="18"/>
    </row>
    <row r="27" spans="1:15">
      <c r="G27" s="18"/>
    </row>
    <row r="28" spans="1:15">
      <c r="G28" s="18"/>
    </row>
    <row r="29" spans="1:15">
      <c r="E29" s="20"/>
      <c r="F29" s="20"/>
      <c r="G29" s="18"/>
    </row>
    <row r="30" spans="1:15">
      <c r="D30" s="17" t="s">
        <v>2</v>
      </c>
      <c r="G30" s="18"/>
      <c r="N30" s="29"/>
      <c r="O30" s="29"/>
    </row>
    <row r="31" spans="1:15">
      <c r="G31" s="18"/>
      <c r="N31" s="29"/>
      <c r="O31" s="29"/>
    </row>
    <row r="32" spans="1:15">
      <c r="E32" s="20"/>
      <c r="F32" s="20"/>
      <c r="G32" s="18"/>
      <c r="N32" s="29"/>
      <c r="O32" s="29"/>
    </row>
    <row r="33" spans="1:22" ht="18.75" customHeight="1">
      <c r="E33" s="22"/>
      <c r="F33" s="22"/>
      <c r="G33" s="18"/>
      <c r="N33" s="29"/>
      <c r="O33" s="29"/>
    </row>
    <row r="34" spans="1:22">
      <c r="A34" s="17" t="s">
        <v>4</v>
      </c>
      <c r="N34" s="29"/>
      <c r="O34" s="29"/>
    </row>
    <row r="35" spans="1:22" ht="16.5" customHeight="1">
      <c r="N35" s="29"/>
      <c r="O35" s="29"/>
    </row>
    <row r="36" spans="1:22">
      <c r="C36" s="23" t="s">
        <v>96</v>
      </c>
      <c r="D36" s="41">
        <v>30</v>
      </c>
      <c r="E36" s="130"/>
      <c r="F36" s="131" t="s">
        <v>97</v>
      </c>
      <c r="G36" s="132">
        <f>D36*PI()/180</f>
        <v>0.52359877559829882</v>
      </c>
      <c r="K36" s="26"/>
    </row>
    <row r="37" spans="1:22" ht="13.5">
      <c r="C37" s="27" t="s">
        <v>5</v>
      </c>
      <c r="D37" s="132">
        <f>(TAN(PI()/4-G36/2))^2</f>
        <v>0.33333333333333343</v>
      </c>
      <c r="E37" s="130"/>
      <c r="F37" s="131" t="s">
        <v>98</v>
      </c>
      <c r="G37" s="54">
        <v>20</v>
      </c>
      <c r="K37" s="26"/>
    </row>
    <row r="38" spans="1:22">
      <c r="C38" s="23" t="s">
        <v>99</v>
      </c>
      <c r="D38" s="25">
        <f>TAN(G36)</f>
        <v>0.57735026918962573</v>
      </c>
      <c r="E38" s="24"/>
      <c r="K38" s="26"/>
    </row>
    <row r="40" spans="1:22" s="31" customFormat="1" ht="36.75" customHeight="1">
      <c r="A40" s="168"/>
      <c r="B40" s="138" t="s">
        <v>128</v>
      </c>
      <c r="C40" s="202" t="s">
        <v>129</v>
      </c>
      <c r="D40" s="202" t="s">
        <v>130</v>
      </c>
      <c r="E40" s="202" t="s">
        <v>209</v>
      </c>
      <c r="F40" s="202" t="s">
        <v>208</v>
      </c>
      <c r="G40" s="202" t="s">
        <v>223</v>
      </c>
      <c r="H40" s="202" t="s">
        <v>207</v>
      </c>
      <c r="I40" s="202" t="s">
        <v>205</v>
      </c>
      <c r="J40" s="204" t="s">
        <v>10</v>
      </c>
      <c r="K40" s="202" t="s">
        <v>206</v>
      </c>
      <c r="L40" s="202" t="s">
        <v>202</v>
      </c>
      <c r="O40" s="138" t="s">
        <v>203</v>
      </c>
      <c r="P40" s="198" t="s">
        <v>11</v>
      </c>
      <c r="Q40" s="137" t="s">
        <v>12</v>
      </c>
      <c r="R40" s="201"/>
      <c r="S40" s="197"/>
      <c r="V40" s="17"/>
    </row>
    <row r="41" spans="1:22" ht="13.5" customHeight="1">
      <c r="A41" s="169"/>
      <c r="B41" s="55" t="s">
        <v>300</v>
      </c>
      <c r="C41" s="178" t="s">
        <v>301</v>
      </c>
      <c r="D41" s="53">
        <v>6</v>
      </c>
      <c r="E41" s="55">
        <v>10</v>
      </c>
      <c r="F41" s="134">
        <f>+INDEX(Especificaciones!$C$5:$C$25,MATCH('Flexible - D P5'!O41,Especificaciones!$B$5:$B$25,-1))</f>
        <v>0.2732</v>
      </c>
      <c r="G41" s="231">
        <v>2668.71</v>
      </c>
      <c r="H41" s="231">
        <v>1.44</v>
      </c>
      <c r="I41" s="53">
        <v>1</v>
      </c>
      <c r="J41" s="32">
        <f t="shared" ref="J41:J42" si="0">IF(I41&gt;=2*F41,H41/F41,(1-EXP(-2*$D$37*$D$38*H41/I41))/(2*$D$37*$D$38))</f>
        <v>5.2708638360175692</v>
      </c>
      <c r="K41" s="135">
        <f t="shared" ref="K41:K42" si="1">IF(I41&gt;=2*F41,J41*$G$37*F41^2,J41*$G$37*I41*F41)</f>
        <v>7.8681599999999987</v>
      </c>
      <c r="L41" s="135" t="s">
        <v>17</v>
      </c>
      <c r="N41" s="38"/>
      <c r="O41" s="55">
        <v>250</v>
      </c>
      <c r="P41" s="21">
        <f t="shared" ref="P41:P42" si="2">+F41+H41+0.1</f>
        <v>1.8132000000000001</v>
      </c>
      <c r="Q41" s="21">
        <f t="shared" ref="Q41:Q42" si="3">P41*1.5</f>
        <v>2.7198000000000002</v>
      </c>
      <c r="R41" s="13"/>
      <c r="S41" s="14"/>
      <c r="T41" s="29"/>
      <c r="U41" s="14"/>
      <c r="V41" s="29"/>
    </row>
    <row r="42" spans="1:22" ht="13.5" customHeight="1">
      <c r="A42" s="169"/>
      <c r="B42" s="55" t="s">
        <v>301</v>
      </c>
      <c r="C42" s="178" t="s">
        <v>302</v>
      </c>
      <c r="D42" s="53">
        <v>9.64</v>
      </c>
      <c r="E42" s="55">
        <v>10</v>
      </c>
      <c r="F42" s="134">
        <f>+INDEX(Especificaciones!$C$5:$C$25,MATCH('Flexible - D P5'!O42,Especificaciones!$B$5:$B$25,-1))</f>
        <v>0.2732</v>
      </c>
      <c r="G42" s="231">
        <v>2668.65</v>
      </c>
      <c r="H42" s="231">
        <v>1.44</v>
      </c>
      <c r="I42" s="53">
        <v>1</v>
      </c>
      <c r="J42" s="32">
        <f t="shared" si="0"/>
        <v>5.2708638360175692</v>
      </c>
      <c r="K42" s="135">
        <f t="shared" si="1"/>
        <v>7.8681599999999987</v>
      </c>
      <c r="L42" s="135" t="s">
        <v>17</v>
      </c>
      <c r="N42" s="38"/>
      <c r="O42" s="55">
        <v>250</v>
      </c>
      <c r="P42" s="21">
        <f t="shared" si="2"/>
        <v>1.8132000000000001</v>
      </c>
      <c r="Q42" s="21">
        <f t="shared" si="3"/>
        <v>2.7198000000000002</v>
      </c>
      <c r="R42" s="13"/>
      <c r="S42" s="14"/>
      <c r="T42" s="29"/>
      <c r="U42" s="14"/>
      <c r="V42" s="29"/>
    </row>
    <row r="43" spans="1:22">
      <c r="A43" s="199"/>
      <c r="B43" s="199"/>
      <c r="C43" s="35"/>
      <c r="D43" s="71"/>
      <c r="E43" s="36"/>
      <c r="F43" s="35"/>
      <c r="H43" s="35"/>
      <c r="I43" s="35"/>
      <c r="J43" s="60"/>
      <c r="K43" s="36"/>
      <c r="L43" s="36"/>
      <c r="M43" s="37"/>
      <c r="N43" s="38"/>
      <c r="O43" s="55"/>
      <c r="P43" s="21"/>
      <c r="Q43" s="21"/>
    </row>
    <row r="44" spans="1:22">
      <c r="A44" s="19" t="s">
        <v>18</v>
      </c>
      <c r="B44" s="39"/>
      <c r="C44" s="19"/>
      <c r="D44" s="19"/>
      <c r="E44" s="19"/>
      <c r="F44" s="19"/>
      <c r="G44" s="19"/>
      <c r="H44" s="19"/>
      <c r="I44" s="19"/>
      <c r="J44" s="19"/>
      <c r="K44" s="19"/>
      <c r="L44" s="19"/>
    </row>
    <row r="45" spans="1:22">
      <c r="A45" s="19"/>
      <c r="B45" s="19"/>
      <c r="C45" s="19"/>
      <c r="D45" s="19"/>
      <c r="E45" s="40"/>
      <c r="F45" s="20"/>
      <c r="G45" s="40"/>
      <c r="H45" s="19"/>
      <c r="I45" s="19"/>
      <c r="J45" s="19"/>
      <c r="K45" s="19"/>
      <c r="L45" s="19"/>
    </row>
    <row r="46" spans="1:22">
      <c r="A46" s="19"/>
      <c r="B46" s="19"/>
      <c r="C46" s="19"/>
      <c r="H46" s="19"/>
      <c r="I46" s="19"/>
      <c r="J46" s="19"/>
      <c r="K46" s="19"/>
      <c r="L46" s="19"/>
      <c r="O46" s="29"/>
    </row>
    <row r="47" spans="1:22">
      <c r="A47" s="19"/>
      <c r="B47" s="19"/>
      <c r="C47" s="19"/>
      <c r="H47" s="19"/>
      <c r="I47" s="19"/>
      <c r="J47" s="19"/>
      <c r="K47" s="19"/>
      <c r="L47" s="19"/>
    </row>
    <row r="48" spans="1:22">
      <c r="B48" s="19"/>
      <c r="C48" s="19"/>
      <c r="H48" s="19"/>
      <c r="I48" s="19"/>
      <c r="J48" s="19"/>
      <c r="K48" s="19"/>
      <c r="L48" s="19"/>
    </row>
    <row r="49" spans="1:26" s="31" customFormat="1" ht="11.25" customHeight="1">
      <c r="A49" s="19"/>
      <c r="B49" s="19"/>
      <c r="C49" s="19"/>
      <c r="D49" s="17" t="s">
        <v>2</v>
      </c>
      <c r="E49" s="19"/>
      <c r="F49" s="19"/>
      <c r="G49" s="19"/>
      <c r="H49" s="19"/>
      <c r="I49" s="19"/>
      <c r="J49" s="19"/>
      <c r="K49" s="19"/>
      <c r="L49" s="19"/>
      <c r="M49" s="17"/>
      <c r="N49" s="17"/>
      <c r="P49" s="17"/>
      <c r="Q49" s="17"/>
      <c r="R49" s="17"/>
      <c r="S49" s="17"/>
      <c r="T49" s="17"/>
      <c r="U49" s="17"/>
      <c r="W49" s="17"/>
      <c r="X49" s="17"/>
      <c r="Y49" s="17"/>
      <c r="Z49" s="17"/>
    </row>
    <row r="50" spans="1:26" s="31" customFormat="1" ht="16.5" customHeight="1">
      <c r="A50" s="19"/>
      <c r="B50" s="19"/>
      <c r="C50" s="19"/>
      <c r="D50" s="17"/>
      <c r="E50" s="40"/>
      <c r="F50" s="40"/>
      <c r="G50" s="40"/>
      <c r="H50" s="19"/>
      <c r="I50" s="19"/>
      <c r="J50" s="19"/>
      <c r="K50" s="19"/>
      <c r="L50" s="19"/>
      <c r="M50" s="17"/>
      <c r="N50" s="17"/>
      <c r="P50" s="17"/>
      <c r="Q50" s="17"/>
      <c r="R50" s="17"/>
      <c r="S50" s="17"/>
      <c r="T50" s="17"/>
      <c r="U50" s="17"/>
      <c r="W50" s="17"/>
      <c r="X50" s="17"/>
      <c r="Y50" s="17"/>
      <c r="Z50" s="17"/>
    </row>
    <row r="51" spans="1:26" s="31" customFormat="1" ht="18.75" customHeight="1">
      <c r="A51" s="19"/>
      <c r="B51" s="19"/>
      <c r="C51" s="19"/>
      <c r="D51" s="17"/>
      <c r="E51" s="40"/>
      <c r="F51" s="40"/>
      <c r="G51" s="40"/>
      <c r="H51" s="19"/>
      <c r="I51" s="19"/>
      <c r="J51" s="19"/>
      <c r="K51" s="19"/>
      <c r="L51" s="19"/>
      <c r="M51" s="17"/>
      <c r="N51" s="17"/>
      <c r="P51" s="17"/>
      <c r="Q51" s="17"/>
      <c r="R51" s="17"/>
      <c r="S51" s="17"/>
      <c r="T51" s="17"/>
      <c r="U51" s="17"/>
      <c r="W51" s="17"/>
      <c r="X51" s="17"/>
      <c r="Y51" s="17"/>
      <c r="Z51" s="17"/>
    </row>
    <row r="52" spans="1:26" s="31" customFormat="1" ht="18.75" customHeight="1">
      <c r="A52" s="19"/>
      <c r="B52" s="19"/>
      <c r="C52" s="19"/>
      <c r="D52" s="17"/>
      <c r="E52" s="40"/>
      <c r="F52" s="40"/>
      <c r="G52" s="40"/>
      <c r="H52" s="19"/>
      <c r="I52" s="19"/>
      <c r="J52" s="19"/>
      <c r="K52" s="19"/>
      <c r="L52" s="19"/>
      <c r="M52" s="17"/>
      <c r="N52" s="17"/>
      <c r="P52" s="17"/>
      <c r="Q52" s="17"/>
      <c r="R52" s="17"/>
      <c r="S52" s="17"/>
      <c r="T52" s="17"/>
      <c r="U52" s="17"/>
      <c r="W52" s="17"/>
      <c r="X52" s="17"/>
      <c r="Y52" s="17"/>
      <c r="Z52" s="17"/>
    </row>
    <row r="53" spans="1:26" s="31" customFormat="1" ht="12.75" customHeight="1">
      <c r="A53" s="19"/>
      <c r="B53" s="19"/>
      <c r="C53" s="19"/>
      <c r="D53" s="19"/>
      <c r="E53" s="40"/>
      <c r="F53" s="40"/>
      <c r="G53" s="40"/>
      <c r="H53" s="19"/>
      <c r="I53" s="19"/>
      <c r="J53" s="19"/>
      <c r="K53" s="19"/>
      <c r="L53" s="19"/>
      <c r="M53" s="17"/>
      <c r="N53" s="17"/>
      <c r="P53" s="17"/>
      <c r="Q53" s="17"/>
      <c r="R53" s="17"/>
      <c r="S53" s="17"/>
      <c r="T53" s="17"/>
      <c r="U53" s="17"/>
      <c r="W53" s="17"/>
      <c r="X53" s="17"/>
      <c r="Y53" s="17"/>
      <c r="Z53" s="17"/>
    </row>
    <row r="54" spans="1:26" s="31" customFormat="1" ht="15" customHeight="1">
      <c r="A54" s="19"/>
      <c r="B54" s="19"/>
      <c r="C54" s="19"/>
      <c r="D54" s="19"/>
      <c r="E54" s="40"/>
      <c r="F54" s="40"/>
      <c r="G54" s="40"/>
      <c r="H54" s="19"/>
      <c r="I54" s="19"/>
      <c r="J54" s="19"/>
      <c r="K54" s="19"/>
      <c r="L54" s="19"/>
      <c r="M54" s="17"/>
      <c r="N54" s="17"/>
      <c r="P54" s="17"/>
      <c r="Q54" s="17"/>
      <c r="R54" s="17"/>
      <c r="S54" s="17"/>
      <c r="T54" s="17"/>
      <c r="U54" s="17"/>
      <c r="W54" s="17"/>
      <c r="X54" s="17"/>
      <c r="Y54" s="17"/>
      <c r="Z54" s="17"/>
    </row>
    <row r="55" spans="1:26" ht="7.5" customHeight="1">
      <c r="A55" s="19"/>
      <c r="B55" s="19"/>
      <c r="C55" s="19"/>
      <c r="D55" s="19"/>
      <c r="E55" s="40"/>
      <c r="F55" s="40"/>
      <c r="G55" s="40"/>
      <c r="H55" s="19"/>
      <c r="I55" s="19"/>
      <c r="J55" s="19"/>
      <c r="K55" s="19"/>
      <c r="L55" s="19"/>
      <c r="M55" s="19"/>
    </row>
    <row r="56" spans="1:26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</row>
    <row r="57" spans="1:26">
      <c r="A57" s="17" t="s">
        <v>19</v>
      </c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</row>
    <row r="58" spans="1:26"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</row>
    <row r="59" spans="1:26">
      <c r="C59" s="139" t="s">
        <v>20</v>
      </c>
      <c r="D59" s="41">
        <v>80</v>
      </c>
      <c r="F59" s="19"/>
      <c r="G59" s="19"/>
      <c r="H59" s="19"/>
      <c r="I59" s="19"/>
      <c r="J59" s="19"/>
      <c r="K59" s="19"/>
      <c r="L59" s="19"/>
      <c r="M59" s="19"/>
    </row>
    <row r="60" spans="1:26">
      <c r="C60" s="295" t="s">
        <v>21</v>
      </c>
      <c r="D60" s="4">
        <v>1.2</v>
      </c>
      <c r="E60" s="1" t="s">
        <v>174</v>
      </c>
      <c r="F60" s="19"/>
      <c r="G60" s="19"/>
      <c r="H60" s="19"/>
      <c r="I60" s="19"/>
      <c r="J60" s="19"/>
      <c r="K60" s="19"/>
      <c r="L60" s="19"/>
      <c r="M60" s="19"/>
    </row>
    <row r="61" spans="1:26">
      <c r="C61" s="296"/>
      <c r="D61" s="4">
        <v>1.1000000000000001</v>
      </c>
      <c r="E61" s="1" t="s">
        <v>22</v>
      </c>
      <c r="F61" s="19"/>
      <c r="G61" s="19"/>
      <c r="H61" s="19"/>
      <c r="I61" s="19"/>
      <c r="J61" s="19"/>
      <c r="K61" s="19"/>
      <c r="L61" s="19"/>
      <c r="M61" s="19"/>
    </row>
    <row r="62" spans="1:26">
      <c r="C62" s="297"/>
      <c r="D62" s="42">
        <v>1</v>
      </c>
      <c r="E62" s="1" t="s">
        <v>175</v>
      </c>
      <c r="M62" s="19"/>
    </row>
    <row r="63" spans="1:26">
      <c r="M63" s="19"/>
    </row>
    <row r="64" spans="1:26" s="31" customFormat="1" ht="30" customHeight="1">
      <c r="A64" s="168"/>
      <c r="B64" s="138" t="str">
        <f>B$40</f>
        <v>Pozo de</v>
      </c>
      <c r="C64" s="202" t="str">
        <f>C$40</f>
        <v>Pozo a</v>
      </c>
      <c r="D64" s="202" t="s">
        <v>130</v>
      </c>
      <c r="E64" s="202" t="s">
        <v>209</v>
      </c>
      <c r="F64" s="202" t="s">
        <v>204</v>
      </c>
      <c r="G64" s="204" t="s">
        <v>134</v>
      </c>
      <c r="H64" s="202" t="s">
        <v>205</v>
      </c>
      <c r="I64" s="202" t="s">
        <v>224</v>
      </c>
      <c r="J64" s="202" t="s">
        <v>225</v>
      </c>
      <c r="K64" s="202" t="s">
        <v>210</v>
      </c>
      <c r="L64" s="202" t="s">
        <v>211</v>
      </c>
      <c r="N64" s="200" t="s">
        <v>23</v>
      </c>
      <c r="W64" s="17"/>
      <c r="X64" s="17"/>
    </row>
    <row r="65" spans="1:26" s="74" customFormat="1" ht="12" customHeight="1">
      <c r="A65" s="169"/>
      <c r="B65" s="140" t="str">
        <f t="shared" ref="B65:F66" si="4">+B41</f>
        <v>CR-03</v>
      </c>
      <c r="C65" s="140" t="str">
        <f t="shared" si="4"/>
        <v>131828A</v>
      </c>
      <c r="D65" s="135">
        <f t="shared" si="4"/>
        <v>6</v>
      </c>
      <c r="E65" s="95">
        <f t="shared" si="4"/>
        <v>10</v>
      </c>
      <c r="F65" s="135">
        <f t="shared" si="4"/>
        <v>0.2732</v>
      </c>
      <c r="G65" s="135">
        <f>+H41</f>
        <v>1.44</v>
      </c>
      <c r="H65" s="135">
        <f>+I41</f>
        <v>1</v>
      </c>
      <c r="I65" s="135">
        <f t="shared" ref="I65:I66" si="5">0.5+1.75*G65</f>
        <v>3.02</v>
      </c>
      <c r="J65" s="135">
        <f t="shared" ref="J65:J66" si="6">0.25+1.75*G65</f>
        <v>2.77</v>
      </c>
      <c r="K65" s="135">
        <f t="shared" ref="K65:K66" si="7">I65+1.75*(3*F65/4)</f>
        <v>3.3785750000000001</v>
      </c>
      <c r="L65" s="96">
        <f t="shared" ref="L65:L66" si="8">$D$59*CHOOSE(N65,$D$60,$D$61,$D$62)/K65</f>
        <v>23.678621904205176</v>
      </c>
      <c r="M65" s="17"/>
      <c r="N65" s="75">
        <f t="shared" ref="N65:N66" si="9">IF(G65&lt;0.6,1,IF(G65&lt;0.91,2,3))</f>
        <v>3</v>
      </c>
    </row>
    <row r="66" spans="1:26" s="74" customFormat="1" ht="12" customHeight="1">
      <c r="A66" s="169"/>
      <c r="B66" s="140" t="str">
        <f t="shared" si="4"/>
        <v>131828A</v>
      </c>
      <c r="C66" s="140" t="str">
        <f t="shared" si="4"/>
        <v>131828B</v>
      </c>
      <c r="D66" s="135">
        <f t="shared" si="4"/>
        <v>9.64</v>
      </c>
      <c r="E66" s="95">
        <f t="shared" si="4"/>
        <v>10</v>
      </c>
      <c r="F66" s="135">
        <f t="shared" si="4"/>
        <v>0.2732</v>
      </c>
      <c r="G66" s="135">
        <f>+H42</f>
        <v>1.44</v>
      </c>
      <c r="H66" s="135">
        <f>+I42</f>
        <v>1</v>
      </c>
      <c r="I66" s="135">
        <f t="shared" si="5"/>
        <v>3.02</v>
      </c>
      <c r="J66" s="135">
        <f t="shared" si="6"/>
        <v>2.77</v>
      </c>
      <c r="K66" s="135">
        <f t="shared" si="7"/>
        <v>3.3785750000000001</v>
      </c>
      <c r="L66" s="96">
        <f t="shared" si="8"/>
        <v>23.678621904205176</v>
      </c>
      <c r="M66" s="17"/>
      <c r="N66" s="75">
        <f t="shared" si="9"/>
        <v>3</v>
      </c>
    </row>
    <row r="67" spans="1:26" s="74" customFormat="1" ht="11.25">
      <c r="E67" s="77"/>
      <c r="F67" s="78"/>
      <c r="G67" s="79"/>
      <c r="H67" s="79"/>
      <c r="I67" s="80"/>
      <c r="J67" s="80"/>
      <c r="K67" s="80"/>
    </row>
    <row r="68" spans="1:26">
      <c r="A68" s="19" t="s">
        <v>24</v>
      </c>
      <c r="D68" s="37"/>
      <c r="E68" s="30"/>
      <c r="F68" s="43"/>
      <c r="G68" s="43"/>
      <c r="H68" s="36"/>
      <c r="I68" s="36"/>
      <c r="J68" s="36"/>
    </row>
    <row r="69" spans="1:26">
      <c r="D69" s="37"/>
      <c r="E69" s="30"/>
      <c r="F69" s="43"/>
      <c r="G69" s="43"/>
      <c r="H69" s="36"/>
      <c r="I69" s="36"/>
      <c r="J69" s="36"/>
    </row>
    <row r="70" spans="1:26">
      <c r="A70" s="298" t="s">
        <v>116</v>
      </c>
      <c r="B70" s="298"/>
      <c r="C70" s="298"/>
      <c r="D70" s="298"/>
      <c r="E70" s="298"/>
      <c r="F70" s="298"/>
      <c r="G70" s="298"/>
      <c r="H70" s="298"/>
      <c r="I70" s="298"/>
      <c r="J70" s="298"/>
      <c r="K70" s="298"/>
      <c r="L70" s="298"/>
      <c r="M70" s="298"/>
    </row>
    <row r="71" spans="1:26">
      <c r="A71" s="298"/>
      <c r="B71" s="298"/>
      <c r="C71" s="298"/>
      <c r="D71" s="298"/>
      <c r="E71" s="298"/>
      <c r="F71" s="298"/>
      <c r="G71" s="298"/>
      <c r="H71" s="298"/>
      <c r="I71" s="298"/>
      <c r="J71" s="298"/>
      <c r="K71" s="298"/>
      <c r="L71" s="298"/>
      <c r="M71" s="298"/>
    </row>
    <row r="72" spans="1:26">
      <c r="D72" s="37"/>
      <c r="E72" s="30"/>
      <c r="F72" s="43"/>
      <c r="G72" s="43"/>
      <c r="H72" s="36"/>
      <c r="I72" s="36"/>
      <c r="J72" s="36"/>
    </row>
    <row r="73" spans="1:26">
      <c r="D73" s="37"/>
      <c r="E73" s="30"/>
      <c r="F73" s="43"/>
      <c r="G73" s="43"/>
      <c r="H73" s="36"/>
      <c r="I73" s="36"/>
      <c r="J73" s="36"/>
      <c r="P73" s="19"/>
      <c r="Q73" s="19"/>
      <c r="R73" s="19"/>
      <c r="S73" s="19"/>
      <c r="T73" s="19"/>
      <c r="U73" s="19"/>
      <c r="V73" s="19"/>
      <c r="Y73" s="19"/>
      <c r="Z73" s="19"/>
    </row>
    <row r="74" spans="1:26">
      <c r="D74" s="37"/>
      <c r="E74" s="30"/>
      <c r="F74" s="43"/>
      <c r="G74" s="43"/>
      <c r="H74" s="36"/>
      <c r="I74" s="36"/>
      <c r="J74" s="36"/>
      <c r="P74" s="19"/>
      <c r="Q74" s="19"/>
      <c r="R74" s="19"/>
      <c r="S74" s="19"/>
      <c r="T74" s="19"/>
      <c r="U74" s="19"/>
      <c r="V74" s="19"/>
      <c r="Y74" s="19"/>
      <c r="Z74" s="19"/>
    </row>
    <row r="75" spans="1:26">
      <c r="D75" s="37"/>
      <c r="E75" s="30"/>
      <c r="F75" s="43"/>
      <c r="G75" s="43"/>
      <c r="H75" s="36"/>
      <c r="I75" s="36"/>
      <c r="J75" s="36"/>
      <c r="P75" s="19"/>
      <c r="Q75" s="19"/>
      <c r="R75" s="19"/>
      <c r="S75" s="19"/>
      <c r="T75" s="19"/>
      <c r="U75" s="19"/>
      <c r="V75" s="19"/>
      <c r="Y75" s="19"/>
      <c r="Z75" s="19"/>
    </row>
    <row r="76" spans="1:26">
      <c r="D76" s="37"/>
      <c r="E76" s="30"/>
      <c r="F76" s="43"/>
      <c r="G76" s="43"/>
      <c r="H76" s="36"/>
      <c r="I76" s="36"/>
      <c r="J76" s="36"/>
      <c r="P76" s="19"/>
      <c r="Q76" s="19"/>
      <c r="R76" s="19"/>
      <c r="S76" s="19"/>
      <c r="T76" s="19"/>
      <c r="U76" s="19"/>
      <c r="V76" s="19"/>
      <c r="Y76" s="19"/>
      <c r="Z76" s="19"/>
    </row>
    <row r="77" spans="1:26">
      <c r="A77" s="17" t="s">
        <v>2</v>
      </c>
      <c r="D77" s="37"/>
      <c r="E77" s="30"/>
      <c r="F77" s="43"/>
      <c r="G77" s="43"/>
      <c r="H77" s="36"/>
      <c r="I77" s="36"/>
      <c r="J77" s="36"/>
      <c r="P77" s="19"/>
      <c r="Q77" s="19"/>
      <c r="R77" s="19"/>
      <c r="S77" s="19"/>
      <c r="T77" s="19"/>
      <c r="U77" s="19"/>
      <c r="V77" s="19"/>
      <c r="Y77" s="19"/>
      <c r="Z77" s="19"/>
    </row>
    <row r="78" spans="1:26">
      <c r="C78" s="44" t="s">
        <v>100</v>
      </c>
      <c r="D78" s="45" t="s">
        <v>25</v>
      </c>
      <c r="E78" s="30"/>
      <c r="F78" s="43"/>
      <c r="G78" s="43"/>
      <c r="H78" s="36"/>
      <c r="I78" s="36"/>
      <c r="J78" s="36"/>
      <c r="O78" s="72"/>
      <c r="P78" s="154"/>
      <c r="Q78" s="154"/>
      <c r="R78" s="154"/>
      <c r="S78" s="19"/>
      <c r="T78" s="19"/>
      <c r="U78" s="19"/>
      <c r="V78" s="19"/>
      <c r="Y78" s="19"/>
      <c r="Z78" s="19"/>
    </row>
    <row r="79" spans="1:26">
      <c r="C79" s="44" t="s">
        <v>101</v>
      </c>
      <c r="D79" s="45" t="s">
        <v>27</v>
      </c>
      <c r="E79" s="30"/>
      <c r="F79" s="43"/>
      <c r="G79" s="43"/>
      <c r="H79" s="36"/>
      <c r="I79" s="36"/>
      <c r="J79" s="36"/>
      <c r="O79" s="199"/>
      <c r="P79" s="155"/>
      <c r="Q79" s="154"/>
      <c r="R79" s="154"/>
      <c r="S79" s="19"/>
      <c r="T79" s="19"/>
      <c r="U79" s="19"/>
      <c r="V79" s="19"/>
      <c r="W79" s="19"/>
      <c r="X79" s="19"/>
      <c r="Y79" s="19"/>
      <c r="Z79" s="19"/>
    </row>
    <row r="80" spans="1:26">
      <c r="C80" s="17" t="s">
        <v>26</v>
      </c>
      <c r="D80" s="45" t="s">
        <v>76</v>
      </c>
      <c r="E80" s="30"/>
      <c r="F80" s="43"/>
      <c r="G80" s="43"/>
      <c r="H80" s="36"/>
      <c r="I80" s="36"/>
      <c r="J80" s="36"/>
      <c r="O80" s="72"/>
      <c r="P80" s="155"/>
      <c r="Q80" s="154"/>
      <c r="R80" s="154"/>
      <c r="S80" s="19"/>
      <c r="T80" s="19"/>
      <c r="U80" s="19"/>
      <c r="V80" s="19"/>
      <c r="W80" s="19"/>
      <c r="X80" s="19"/>
      <c r="Y80" s="19"/>
      <c r="Z80" s="19"/>
    </row>
    <row r="81" spans="1:240" ht="13.5">
      <c r="C81" s="46" t="s">
        <v>102</v>
      </c>
      <c r="D81" s="45" t="s">
        <v>28</v>
      </c>
      <c r="E81" s="30"/>
      <c r="F81" s="43"/>
      <c r="G81" s="43"/>
      <c r="H81" s="36"/>
      <c r="I81" s="36"/>
      <c r="J81" s="36"/>
      <c r="O81" s="72"/>
      <c r="P81" s="155"/>
      <c r="Q81" s="154"/>
      <c r="R81" s="154"/>
    </row>
    <row r="82" spans="1:240">
      <c r="C82" s="17" t="s">
        <v>29</v>
      </c>
      <c r="D82" s="45" t="s">
        <v>30</v>
      </c>
      <c r="E82" s="30"/>
      <c r="F82" s="43"/>
      <c r="G82" s="43"/>
      <c r="H82" s="36"/>
      <c r="I82" s="36"/>
      <c r="J82" s="36"/>
      <c r="O82" s="72"/>
      <c r="P82" s="72"/>
      <c r="Q82" s="72"/>
      <c r="R82" s="72"/>
    </row>
    <row r="83" spans="1:240">
      <c r="C83" s="17" t="s">
        <v>31</v>
      </c>
      <c r="D83" s="45" t="s">
        <v>32</v>
      </c>
      <c r="E83" s="30"/>
      <c r="F83" s="43"/>
      <c r="G83" s="43"/>
      <c r="H83" s="36"/>
      <c r="I83" s="36"/>
      <c r="J83" s="36"/>
      <c r="O83" s="72"/>
      <c r="P83" s="72"/>
      <c r="Q83" s="72"/>
      <c r="R83" s="72"/>
      <c r="S83" s="301" t="s">
        <v>50</v>
      </c>
      <c r="T83" s="301" t="s">
        <v>51</v>
      </c>
      <c r="U83" s="301"/>
      <c r="V83" s="301"/>
      <c r="W83" s="301"/>
      <c r="X83" s="301"/>
      <c r="Y83" s="301"/>
      <c r="Z83" s="301"/>
      <c r="AA83" s="301"/>
    </row>
    <row r="84" spans="1:240">
      <c r="D84" s="45" t="s">
        <v>33</v>
      </c>
      <c r="E84" s="30"/>
      <c r="F84" s="43"/>
      <c r="G84" s="43"/>
      <c r="H84" s="36"/>
      <c r="I84" s="36"/>
      <c r="J84" s="36"/>
      <c r="O84" s="19"/>
      <c r="S84" s="301"/>
      <c r="T84" s="116">
        <v>1.25</v>
      </c>
      <c r="U84" s="116">
        <v>1.5</v>
      </c>
      <c r="V84" s="116">
        <v>1.75</v>
      </c>
      <c r="W84" s="116">
        <v>2</v>
      </c>
      <c r="X84" s="116">
        <v>2.5</v>
      </c>
      <c r="Y84" s="116">
        <v>3</v>
      </c>
      <c r="Z84" s="116">
        <v>4</v>
      </c>
      <c r="AA84" s="116">
        <v>5</v>
      </c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  <c r="HN84" s="19"/>
      <c r="HO84" s="19"/>
      <c r="HP84" s="19"/>
      <c r="HQ84" s="19"/>
      <c r="HR84" s="19"/>
      <c r="HS84" s="19"/>
      <c r="HT84" s="19"/>
      <c r="HU84" s="19"/>
      <c r="HV84" s="19"/>
      <c r="HW84" s="19"/>
      <c r="HX84" s="19"/>
      <c r="HY84" s="19"/>
      <c r="HZ84" s="19"/>
      <c r="IA84" s="19"/>
      <c r="IB84" s="19"/>
      <c r="IC84" s="19"/>
      <c r="ID84" s="19"/>
      <c r="IE84" s="19"/>
      <c r="IF84" s="19"/>
    </row>
    <row r="85" spans="1:240">
      <c r="C85" s="17" t="s">
        <v>34</v>
      </c>
      <c r="D85" s="45" t="s">
        <v>35</v>
      </c>
      <c r="E85" s="30"/>
      <c r="F85" s="43"/>
      <c r="G85" s="43"/>
      <c r="H85" s="36"/>
      <c r="I85" s="36"/>
      <c r="J85" s="36"/>
      <c r="O85" s="19"/>
      <c r="S85" s="196">
        <v>5.0000000000000001E-3</v>
      </c>
      <c r="T85" s="21">
        <v>0.02</v>
      </c>
      <c r="U85" s="21">
        <v>0.05</v>
      </c>
      <c r="V85" s="21">
        <v>0.08</v>
      </c>
      <c r="W85" s="21">
        <v>0.12</v>
      </c>
      <c r="X85" s="21">
        <v>0.23</v>
      </c>
      <c r="Y85" s="21">
        <v>0.43</v>
      </c>
      <c r="Z85" s="21">
        <v>0.72</v>
      </c>
      <c r="AA85" s="21">
        <v>1</v>
      </c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  <c r="HN85" s="19"/>
      <c r="HO85" s="19"/>
      <c r="HP85" s="19"/>
      <c r="HQ85" s="19"/>
      <c r="HR85" s="19"/>
      <c r="HS85" s="19"/>
      <c r="HT85" s="19"/>
      <c r="HU85" s="19"/>
      <c r="HV85" s="19"/>
      <c r="HW85" s="19"/>
      <c r="HX85" s="19"/>
      <c r="HY85" s="19"/>
      <c r="HZ85" s="19"/>
      <c r="IA85" s="19"/>
      <c r="IB85" s="19"/>
      <c r="IC85" s="19"/>
      <c r="ID85" s="19"/>
      <c r="IE85" s="19"/>
      <c r="IF85" s="19"/>
    </row>
    <row r="86" spans="1:240">
      <c r="C86" s="17" t="s">
        <v>36</v>
      </c>
      <c r="D86" s="45" t="s">
        <v>37</v>
      </c>
      <c r="E86" s="30"/>
      <c r="F86" s="43"/>
      <c r="G86" s="43"/>
      <c r="H86" s="36"/>
      <c r="I86" s="36"/>
      <c r="J86" s="36"/>
      <c r="O86" s="19"/>
      <c r="S86" s="196">
        <v>0.01</v>
      </c>
      <c r="T86" s="21">
        <v>0.03</v>
      </c>
      <c r="U86" s="21">
        <v>7.0000000000000007E-2</v>
      </c>
      <c r="V86" s="21">
        <v>0.11</v>
      </c>
      <c r="W86" s="21">
        <v>0.15</v>
      </c>
      <c r="X86" s="21">
        <v>0.27</v>
      </c>
      <c r="Y86" s="21">
        <v>0.47</v>
      </c>
      <c r="Z86" s="21">
        <v>0.74</v>
      </c>
      <c r="AA86" s="21">
        <v>1</v>
      </c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  <c r="HM86" s="19"/>
      <c r="HN86" s="19"/>
      <c r="HO86" s="19"/>
      <c r="HP86" s="19"/>
      <c r="HQ86" s="19"/>
      <c r="HR86" s="19"/>
      <c r="HS86" s="19"/>
      <c r="HT86" s="19"/>
      <c r="HU86" s="19"/>
      <c r="HV86" s="19"/>
      <c r="HW86" s="19"/>
      <c r="HX86" s="19"/>
      <c r="HY86" s="19"/>
      <c r="HZ86" s="19"/>
      <c r="IA86" s="19"/>
      <c r="IB86" s="19"/>
      <c r="IC86" s="19"/>
      <c r="ID86" s="19"/>
      <c r="IE86" s="19"/>
      <c r="IF86" s="19"/>
    </row>
    <row r="87" spans="1:240" ht="13.5">
      <c r="C87" s="17" t="s">
        <v>38</v>
      </c>
      <c r="D87" s="45" t="s">
        <v>103</v>
      </c>
      <c r="E87" s="30"/>
      <c r="F87" s="43"/>
      <c r="G87" s="43"/>
      <c r="H87" s="36"/>
      <c r="I87" s="36"/>
      <c r="J87" s="36"/>
      <c r="O87" s="19"/>
      <c r="S87" s="196">
        <v>0.02</v>
      </c>
      <c r="T87" s="21">
        <v>0.05</v>
      </c>
      <c r="U87" s="21">
        <v>0.1</v>
      </c>
      <c r="V87" s="21">
        <v>0.15</v>
      </c>
      <c r="W87" s="21">
        <v>0.2</v>
      </c>
      <c r="X87" s="21">
        <v>0.32</v>
      </c>
      <c r="Y87" s="21">
        <v>0.52</v>
      </c>
      <c r="Z87" s="21">
        <v>0.77</v>
      </c>
      <c r="AA87" s="21">
        <v>1</v>
      </c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  <c r="HK87" s="19"/>
      <c r="HL87" s="19"/>
      <c r="HM87" s="19"/>
      <c r="HN87" s="19"/>
      <c r="HO87" s="19"/>
      <c r="HP87" s="19"/>
      <c r="HQ87" s="19"/>
      <c r="HR87" s="19"/>
      <c r="HS87" s="19"/>
      <c r="HT87" s="19"/>
      <c r="HU87" s="19"/>
      <c r="HV87" s="19"/>
      <c r="HW87" s="19"/>
      <c r="HX87" s="19"/>
      <c r="HY87" s="19"/>
      <c r="HZ87" s="19"/>
      <c r="IA87" s="19"/>
      <c r="IB87" s="19"/>
      <c r="IC87" s="19"/>
      <c r="ID87" s="19"/>
      <c r="IE87" s="19"/>
    </row>
    <row r="88" spans="1:240">
      <c r="C88" s="17" t="s">
        <v>39</v>
      </c>
      <c r="D88" s="45" t="s">
        <v>40</v>
      </c>
      <c r="E88" s="30"/>
      <c r="F88" s="43"/>
      <c r="G88" s="43"/>
      <c r="H88" s="36"/>
      <c r="I88" s="36"/>
      <c r="J88" s="36"/>
      <c r="O88" s="19"/>
      <c r="S88" s="196">
        <v>0.05</v>
      </c>
      <c r="T88" s="21">
        <v>0.1</v>
      </c>
      <c r="U88" s="21">
        <v>0.15</v>
      </c>
      <c r="V88" s="21">
        <v>0.2</v>
      </c>
      <c r="W88" s="21">
        <v>0.27</v>
      </c>
      <c r="X88" s="21">
        <v>0.38</v>
      </c>
      <c r="Y88" s="21">
        <v>0.57999999999999996</v>
      </c>
      <c r="Z88" s="21">
        <v>0.8</v>
      </c>
      <c r="AA88" s="21">
        <v>1</v>
      </c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  <c r="HO88" s="19"/>
      <c r="HP88" s="19"/>
      <c r="HQ88" s="19"/>
      <c r="HR88" s="19"/>
      <c r="HS88" s="19"/>
      <c r="HT88" s="19"/>
      <c r="HU88" s="19"/>
      <c r="HV88" s="19"/>
      <c r="HW88" s="19"/>
      <c r="HX88" s="19"/>
      <c r="HY88" s="19"/>
      <c r="HZ88" s="19"/>
      <c r="IA88" s="19"/>
      <c r="IB88" s="19"/>
      <c r="IC88" s="19"/>
      <c r="ID88" s="19"/>
      <c r="IE88" s="19"/>
      <c r="IF88" s="19"/>
    </row>
    <row r="89" spans="1:240">
      <c r="D89" s="45" t="s">
        <v>199</v>
      </c>
      <c r="E89" s="30"/>
      <c r="F89" s="43"/>
      <c r="G89" s="43"/>
      <c r="H89" s="36"/>
      <c r="I89" s="36"/>
      <c r="J89" s="36"/>
      <c r="O89" s="19"/>
      <c r="S89" s="115">
        <v>0.1</v>
      </c>
      <c r="T89" s="21">
        <v>0.15</v>
      </c>
      <c r="U89" s="21">
        <v>0.2</v>
      </c>
      <c r="V89" s="21">
        <v>0.27</v>
      </c>
      <c r="W89" s="21">
        <v>0.35</v>
      </c>
      <c r="X89" s="21">
        <v>0.46</v>
      </c>
      <c r="Y89" s="21">
        <v>0.65</v>
      </c>
      <c r="Z89" s="21">
        <v>0.84</v>
      </c>
      <c r="AA89" s="21">
        <v>1</v>
      </c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</row>
    <row r="90" spans="1:240">
      <c r="D90" s="45" t="s">
        <v>200</v>
      </c>
      <c r="E90" s="30"/>
      <c r="F90" s="43"/>
      <c r="G90" s="43"/>
      <c r="H90" s="36"/>
      <c r="I90" s="36"/>
      <c r="J90" s="36"/>
      <c r="O90" s="19"/>
      <c r="S90" s="115">
        <v>0.2</v>
      </c>
      <c r="T90" s="21">
        <v>0.25</v>
      </c>
      <c r="U90" s="21">
        <v>0.3</v>
      </c>
      <c r="V90" s="21">
        <v>0.38</v>
      </c>
      <c r="W90" s="21">
        <v>0.47</v>
      </c>
      <c r="X90" s="21">
        <v>0.57999999999999996</v>
      </c>
      <c r="Y90" s="21">
        <v>0.75</v>
      </c>
      <c r="Z90" s="21">
        <v>0.88</v>
      </c>
      <c r="AA90" s="21">
        <v>1</v>
      </c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</row>
    <row r="91" spans="1:240">
      <c r="D91" s="45" t="s">
        <v>201</v>
      </c>
      <c r="E91" s="30"/>
      <c r="F91" s="43"/>
      <c r="G91" s="43"/>
      <c r="H91" s="36"/>
      <c r="I91" s="36"/>
      <c r="J91" s="36"/>
      <c r="O91" s="19"/>
      <c r="S91" s="115">
        <v>0.4</v>
      </c>
      <c r="T91" s="21">
        <v>0.45</v>
      </c>
      <c r="U91" s="21">
        <v>0.5</v>
      </c>
      <c r="V91" s="21">
        <v>0.56000000000000005</v>
      </c>
      <c r="W91" s="21">
        <v>0.64</v>
      </c>
      <c r="X91" s="21">
        <v>0.75</v>
      </c>
      <c r="Y91" s="21">
        <v>0.85</v>
      </c>
      <c r="Z91" s="21">
        <v>0.93</v>
      </c>
      <c r="AA91" s="21">
        <v>1</v>
      </c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  <c r="HY91" s="19"/>
      <c r="HZ91" s="19"/>
      <c r="IA91" s="19"/>
      <c r="IB91" s="19"/>
      <c r="IC91" s="19"/>
      <c r="ID91" s="19"/>
      <c r="IE91" s="19"/>
      <c r="IF91" s="19"/>
    </row>
    <row r="92" spans="1:240">
      <c r="D92" s="45"/>
      <c r="E92" s="30"/>
      <c r="F92" s="43"/>
      <c r="G92" s="43"/>
      <c r="H92" s="36"/>
      <c r="I92" s="36"/>
      <c r="J92" s="36"/>
      <c r="O92" s="19"/>
      <c r="S92" s="115">
        <v>0.6</v>
      </c>
      <c r="T92" s="21">
        <v>0.65</v>
      </c>
      <c r="U92" s="21">
        <v>0.7</v>
      </c>
      <c r="V92" s="21">
        <v>0.75</v>
      </c>
      <c r="W92" s="21">
        <v>0.81</v>
      </c>
      <c r="X92" s="21">
        <v>0.87</v>
      </c>
      <c r="Y92" s="21">
        <v>0.94</v>
      </c>
      <c r="Z92" s="21">
        <v>0.98</v>
      </c>
      <c r="AA92" s="21">
        <v>1</v>
      </c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  <c r="HM92" s="19"/>
      <c r="HN92" s="19"/>
      <c r="HO92" s="19"/>
      <c r="HP92" s="19"/>
      <c r="HQ92" s="19"/>
      <c r="HR92" s="19"/>
      <c r="HS92" s="19"/>
      <c r="HT92" s="19"/>
      <c r="HU92" s="19"/>
      <c r="HV92" s="19"/>
      <c r="HW92" s="19"/>
      <c r="HX92" s="19"/>
      <c r="HY92" s="19"/>
      <c r="HZ92" s="19"/>
      <c r="IA92" s="19"/>
      <c r="IB92" s="19"/>
      <c r="IC92" s="19"/>
      <c r="ID92" s="19"/>
      <c r="IE92" s="19"/>
      <c r="IF92" s="19"/>
    </row>
    <row r="93" spans="1:240">
      <c r="D93" s="37"/>
      <c r="E93" s="30"/>
      <c r="F93" s="43"/>
      <c r="G93" s="43"/>
      <c r="H93" s="36"/>
      <c r="I93" s="36"/>
      <c r="J93" s="36"/>
      <c r="O93" s="196" t="s">
        <v>198</v>
      </c>
      <c r="P93" s="196" t="s">
        <v>46</v>
      </c>
      <c r="Q93" s="196" t="s">
        <v>197</v>
      </c>
      <c r="S93" s="115">
        <v>0.8</v>
      </c>
      <c r="T93" s="21">
        <v>0.84</v>
      </c>
      <c r="U93" s="21">
        <v>0.87</v>
      </c>
      <c r="V93" s="21">
        <v>0.9</v>
      </c>
      <c r="W93" s="21">
        <v>0.93</v>
      </c>
      <c r="X93" s="21">
        <v>0.96</v>
      </c>
      <c r="Y93" s="21">
        <v>0.98</v>
      </c>
      <c r="Z93" s="21">
        <v>1</v>
      </c>
      <c r="AA93" s="21">
        <v>1</v>
      </c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</row>
    <row r="94" spans="1:240">
      <c r="A94" s="17" t="s">
        <v>41</v>
      </c>
      <c r="I94" s="36"/>
      <c r="J94" s="36"/>
      <c r="O94" s="198">
        <v>1</v>
      </c>
      <c r="P94" s="198">
        <v>0.105</v>
      </c>
      <c r="Q94" s="198">
        <v>14000</v>
      </c>
      <c r="S94" s="115">
        <v>1</v>
      </c>
      <c r="T94" s="21">
        <v>1</v>
      </c>
      <c r="U94" s="21">
        <v>1</v>
      </c>
      <c r="V94" s="21">
        <v>1</v>
      </c>
      <c r="W94" s="21">
        <v>1</v>
      </c>
      <c r="X94" s="21">
        <v>1</v>
      </c>
      <c r="Y94" s="21">
        <v>1</v>
      </c>
      <c r="Z94" s="21">
        <v>1</v>
      </c>
      <c r="AA94" s="21">
        <v>1</v>
      </c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  <c r="HO94" s="19"/>
      <c r="HP94" s="19"/>
      <c r="HQ94" s="19"/>
      <c r="HR94" s="19"/>
      <c r="HS94" s="19"/>
      <c r="HT94" s="19"/>
      <c r="HU94" s="19"/>
      <c r="HV94" s="19"/>
      <c r="HW94" s="19"/>
      <c r="HX94" s="19"/>
      <c r="HY94" s="19"/>
      <c r="HZ94" s="19"/>
      <c r="IA94" s="19"/>
      <c r="IB94" s="19"/>
      <c r="IC94" s="19"/>
      <c r="ID94" s="19"/>
      <c r="IE94" s="19"/>
      <c r="IF94" s="19"/>
    </row>
    <row r="95" spans="1:240">
      <c r="C95" s="47"/>
      <c r="I95" s="36"/>
      <c r="J95" s="36"/>
      <c r="O95" s="117">
        <v>2</v>
      </c>
      <c r="P95" s="117">
        <v>0.1</v>
      </c>
      <c r="Q95" s="117">
        <v>11000</v>
      </c>
      <c r="S95" s="115">
        <v>1.5</v>
      </c>
      <c r="T95" s="21">
        <v>1.4</v>
      </c>
      <c r="U95" s="21">
        <v>1.3</v>
      </c>
      <c r="V95" s="21">
        <v>1.2</v>
      </c>
      <c r="W95" s="21">
        <v>1.1200000000000001</v>
      </c>
      <c r="X95" s="21">
        <v>1.06</v>
      </c>
      <c r="Y95" s="21">
        <v>1.03</v>
      </c>
      <c r="Z95" s="21">
        <v>1</v>
      </c>
      <c r="AA95" s="21">
        <v>1</v>
      </c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  <c r="HK95" s="19"/>
      <c r="HL95" s="19"/>
      <c r="HM95" s="19"/>
      <c r="HN95" s="19"/>
      <c r="HO95" s="19"/>
      <c r="HP95" s="19"/>
      <c r="HQ95" s="19"/>
      <c r="HR95" s="19"/>
      <c r="HS95" s="19"/>
      <c r="HT95" s="19"/>
      <c r="HU95" s="19"/>
      <c r="HV95" s="19"/>
      <c r="HW95" s="19"/>
      <c r="HX95" s="19"/>
      <c r="HY95" s="19"/>
      <c r="HZ95" s="19"/>
      <c r="IA95" s="19"/>
      <c r="IB95" s="19"/>
      <c r="IC95" s="19"/>
      <c r="ID95" s="19"/>
      <c r="IE95" s="19"/>
      <c r="IF95" s="19"/>
    </row>
    <row r="96" spans="1:240" ht="13.5">
      <c r="B96" s="48" t="s">
        <v>102</v>
      </c>
      <c r="C96" s="49"/>
      <c r="D96" s="41">
        <v>1.5</v>
      </c>
      <c r="E96" s="72"/>
      <c r="F96" s="72"/>
      <c r="G96" s="72"/>
      <c r="H96" s="72"/>
      <c r="I96" s="36"/>
      <c r="J96" s="36"/>
      <c r="K96" s="72"/>
      <c r="L96" s="72"/>
      <c r="O96" s="198">
        <v>3</v>
      </c>
      <c r="P96" s="198">
        <v>9.6000000000000002E-2</v>
      </c>
      <c r="Q96" s="198">
        <v>4000</v>
      </c>
      <c r="S96" s="115">
        <v>2</v>
      </c>
      <c r="T96" s="21">
        <v>1.7</v>
      </c>
      <c r="U96" s="21">
        <v>1.5</v>
      </c>
      <c r="V96" s="21">
        <v>1.4</v>
      </c>
      <c r="W96" s="21">
        <v>1.3</v>
      </c>
      <c r="X96" s="21">
        <v>1.2</v>
      </c>
      <c r="Y96" s="21">
        <v>1.1000000000000001</v>
      </c>
      <c r="Z96" s="21">
        <v>1.05</v>
      </c>
      <c r="AA96" s="21">
        <v>1</v>
      </c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  <c r="HK96" s="19"/>
      <c r="HL96" s="19"/>
      <c r="HM96" s="19"/>
      <c r="HN96" s="19"/>
      <c r="HO96" s="19"/>
      <c r="HP96" s="19"/>
      <c r="HQ96" s="19"/>
      <c r="HR96" s="19"/>
      <c r="HS96" s="19"/>
      <c r="HT96" s="19"/>
      <c r="HU96" s="19"/>
      <c r="HV96" s="19"/>
      <c r="HW96" s="19"/>
      <c r="HX96" s="19"/>
      <c r="HY96" s="19"/>
      <c r="HZ96" s="19"/>
      <c r="IA96" s="19"/>
      <c r="IB96" s="19"/>
      <c r="IC96" s="19"/>
      <c r="ID96" s="19"/>
      <c r="IE96" s="19"/>
      <c r="IF96" s="19"/>
    </row>
    <row r="97" spans="1:240" ht="13.5">
      <c r="B97" s="50" t="s">
        <v>104</v>
      </c>
      <c r="C97" s="51"/>
      <c r="D97" s="53">
        <f>0.149*57</f>
        <v>8.4930000000000003</v>
      </c>
      <c r="E97" s="123" t="s">
        <v>42</v>
      </c>
      <c r="F97" s="72"/>
      <c r="G97" s="72"/>
      <c r="H97" s="72"/>
      <c r="I97" s="36"/>
      <c r="J97" s="36"/>
      <c r="K97" s="72"/>
      <c r="L97" s="72"/>
      <c r="O97" s="198">
        <v>4</v>
      </c>
      <c r="P97" s="198">
        <v>0.1</v>
      </c>
      <c r="Q97" s="198">
        <v>16000</v>
      </c>
      <c r="S97" s="115">
        <v>3</v>
      </c>
      <c r="T97" s="21">
        <v>2.2000000000000002</v>
      </c>
      <c r="U97" s="21">
        <v>1.8</v>
      </c>
      <c r="V97" s="21">
        <v>1.65</v>
      </c>
      <c r="W97" s="21">
        <v>1.5</v>
      </c>
      <c r="X97" s="21">
        <v>1.35</v>
      </c>
      <c r="Y97" s="21">
        <v>1.2</v>
      </c>
      <c r="Z97" s="21">
        <v>1.1000000000000001</v>
      </c>
      <c r="AA97" s="21">
        <v>1</v>
      </c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  <c r="HM97" s="19"/>
      <c r="HN97" s="19"/>
      <c r="HO97" s="19"/>
      <c r="HP97" s="19"/>
      <c r="HQ97" s="19"/>
      <c r="HR97" s="19"/>
      <c r="HS97" s="19"/>
      <c r="HT97" s="19"/>
      <c r="HU97" s="19"/>
      <c r="HV97" s="19"/>
      <c r="HW97" s="19"/>
      <c r="HX97" s="19"/>
      <c r="HY97" s="19"/>
      <c r="HZ97" s="19"/>
      <c r="IA97" s="19"/>
      <c r="IB97" s="19"/>
      <c r="IC97" s="19"/>
      <c r="ID97" s="19"/>
      <c r="IE97" s="19"/>
      <c r="IF97" s="19"/>
    </row>
    <row r="98" spans="1:240" ht="13.5">
      <c r="B98" s="50" t="s">
        <v>105</v>
      </c>
      <c r="C98" s="51"/>
      <c r="D98" s="54">
        <f>D97/14.21*100</f>
        <v>59.767769176636165</v>
      </c>
      <c r="E98" s="123" t="s">
        <v>43</v>
      </c>
      <c r="F98" s="123"/>
      <c r="G98" s="123"/>
      <c r="H98" s="123"/>
      <c r="I98" s="60"/>
      <c r="J98" s="60"/>
      <c r="K98" s="123"/>
      <c r="L98" s="72"/>
      <c r="S98" s="115">
        <v>5</v>
      </c>
      <c r="T98" s="21">
        <v>3</v>
      </c>
      <c r="U98" s="21">
        <v>2.2000000000000002</v>
      </c>
      <c r="V98" s="21">
        <v>1.9</v>
      </c>
      <c r="W98" s="21">
        <v>1.7</v>
      </c>
      <c r="X98" s="21">
        <v>1.5</v>
      </c>
      <c r="Y98" s="21">
        <v>1.3</v>
      </c>
      <c r="Z98" s="21">
        <v>1.1499999999999999</v>
      </c>
      <c r="AA98" s="21">
        <v>1</v>
      </c>
    </row>
    <row r="99" spans="1:240" ht="13.5">
      <c r="B99" s="50" t="s">
        <v>104</v>
      </c>
      <c r="C99" s="51"/>
      <c r="D99" s="53">
        <f>0.149*28</f>
        <v>4.1719999999999997</v>
      </c>
      <c r="E99" s="123" t="s">
        <v>132</v>
      </c>
      <c r="F99" s="123"/>
      <c r="G99" s="123"/>
      <c r="H99" s="123"/>
      <c r="I99" s="60"/>
      <c r="J99" s="60"/>
      <c r="K99" s="123"/>
      <c r="L99" s="72"/>
    </row>
    <row r="100" spans="1:240" ht="13.5">
      <c r="B100" s="50" t="s">
        <v>105</v>
      </c>
      <c r="C100" s="51"/>
      <c r="D100" s="54">
        <f>D99/14.21*100</f>
        <v>29.359605911330043</v>
      </c>
      <c r="E100" s="123" t="s">
        <v>44</v>
      </c>
      <c r="F100" s="123"/>
      <c r="G100" s="123"/>
      <c r="H100" s="123"/>
      <c r="I100" s="60"/>
      <c r="J100" s="60"/>
      <c r="K100" s="123"/>
      <c r="L100" s="72"/>
    </row>
    <row r="101" spans="1:240" ht="13.5">
      <c r="B101" s="50" t="s">
        <v>213</v>
      </c>
      <c r="C101" s="49"/>
      <c r="D101" s="55">
        <v>31400</v>
      </c>
      <c r="E101" s="123" t="s">
        <v>330</v>
      </c>
      <c r="F101" s="123"/>
      <c r="G101" s="123"/>
      <c r="H101" s="123"/>
      <c r="I101" s="60"/>
      <c r="J101" s="60"/>
      <c r="K101" s="123"/>
      <c r="L101" s="72"/>
    </row>
    <row r="102" spans="1:240" s="56" customFormat="1">
      <c r="D102" s="57"/>
      <c r="E102" s="58"/>
      <c r="F102" s="59"/>
      <c r="G102" s="59"/>
      <c r="H102" s="60"/>
      <c r="I102" s="60"/>
      <c r="J102" s="60"/>
      <c r="S102" s="17"/>
      <c r="W102" s="17"/>
      <c r="X102" s="17"/>
    </row>
    <row r="103" spans="1:240" s="31" customFormat="1" ht="25.5">
      <c r="B103" s="202" t="str">
        <f>B$40</f>
        <v>Pozo de</v>
      </c>
      <c r="C103" s="202" t="str">
        <f>C$40</f>
        <v>Pozo a</v>
      </c>
      <c r="D103" s="202" t="s">
        <v>130</v>
      </c>
      <c r="E103" s="202" t="s">
        <v>208</v>
      </c>
      <c r="F103" s="202" t="str">
        <f>I40</f>
        <v>Ancho zanja
Bd (m)</v>
      </c>
      <c r="G103" s="142" t="s">
        <v>212</v>
      </c>
      <c r="H103" s="143" t="s">
        <v>46</v>
      </c>
      <c r="I103" s="202" t="s">
        <v>226</v>
      </c>
      <c r="J103" s="204" t="s">
        <v>47</v>
      </c>
      <c r="K103" s="202" t="s">
        <v>227</v>
      </c>
      <c r="L103" s="144" t="s">
        <v>228</v>
      </c>
      <c r="N103" s="17" t="s">
        <v>50</v>
      </c>
      <c r="O103" s="17" t="s">
        <v>51</v>
      </c>
      <c r="P103" s="61"/>
      <c r="Q103" s="61"/>
      <c r="R103" s="61"/>
      <c r="S103" s="61"/>
      <c r="T103" s="61"/>
      <c r="U103" s="61"/>
      <c r="V103" s="17"/>
      <c r="W103" s="17"/>
      <c r="X103" s="61"/>
      <c r="Y103" s="61"/>
    </row>
    <row r="104" spans="1:240" s="74" customFormat="1">
      <c r="B104" s="140" t="str">
        <f t="shared" ref="B104:D105" si="10">+B65</f>
        <v>CR-03</v>
      </c>
      <c r="C104" s="140" t="str">
        <f t="shared" si="10"/>
        <v>131828A</v>
      </c>
      <c r="D104" s="135">
        <f t="shared" si="10"/>
        <v>6</v>
      </c>
      <c r="E104" s="135">
        <f>+F65</f>
        <v>0.2732</v>
      </c>
      <c r="F104" s="135">
        <f>+H65</f>
        <v>1</v>
      </c>
      <c r="G104" s="135">
        <f>K41+L65</f>
        <v>31.546781904205176</v>
      </c>
      <c r="H104" s="132">
        <v>0.1</v>
      </c>
      <c r="I104" s="156">
        <v>11000</v>
      </c>
      <c r="J104" s="52">
        <v>1.1200000000000001</v>
      </c>
      <c r="K104" s="140">
        <f t="shared" ref="K104:K105" si="11">I104*J104</f>
        <v>12320.000000000002</v>
      </c>
      <c r="L104" s="135">
        <f t="shared" ref="L104:L105" si="12">(($D$96*H104*G104)/(IF(E104&lt;=0.5,$D$98,$D$100)+(0.061*K104)))*100</f>
        <v>0.58327235605107541</v>
      </c>
      <c r="M104" s="81"/>
      <c r="N104" s="81">
        <f t="shared" ref="N104:N105" si="13">$D$101/I104</f>
        <v>2.8545454545454545</v>
      </c>
      <c r="O104" s="81">
        <f t="shared" ref="O104:O105" si="14">F104/E104</f>
        <v>3.6603221083455346</v>
      </c>
      <c r="P104" s="82"/>
      <c r="Q104" s="82"/>
      <c r="R104" s="83"/>
      <c r="S104" s="82"/>
      <c r="T104" s="83"/>
      <c r="U104" s="83"/>
      <c r="V104" s="83"/>
      <c r="W104" s="83"/>
      <c r="X104" s="84"/>
      <c r="Y104" s="84"/>
    </row>
    <row r="105" spans="1:240" s="74" customFormat="1">
      <c r="B105" s="140" t="str">
        <f t="shared" si="10"/>
        <v>131828A</v>
      </c>
      <c r="C105" s="140" t="str">
        <f t="shared" si="10"/>
        <v>131828B</v>
      </c>
      <c r="D105" s="135">
        <f t="shared" si="10"/>
        <v>9.64</v>
      </c>
      <c r="E105" s="135">
        <f>+F66</f>
        <v>0.2732</v>
      </c>
      <c r="F105" s="135">
        <f>+H66</f>
        <v>1</v>
      </c>
      <c r="G105" s="135">
        <f>K42+L66</f>
        <v>31.546781904205176</v>
      </c>
      <c r="H105" s="132">
        <v>0.1</v>
      </c>
      <c r="I105" s="156">
        <v>11000</v>
      </c>
      <c r="J105" s="52">
        <v>1.1200000000000001</v>
      </c>
      <c r="K105" s="140">
        <f t="shared" si="11"/>
        <v>12320.000000000002</v>
      </c>
      <c r="L105" s="135">
        <f t="shared" si="12"/>
        <v>0.58327235605107541</v>
      </c>
      <c r="M105" s="81"/>
      <c r="N105" s="81">
        <f t="shared" si="13"/>
        <v>2.8545454545454545</v>
      </c>
      <c r="O105" s="81">
        <f t="shared" si="14"/>
        <v>3.6603221083455346</v>
      </c>
      <c r="P105" s="82"/>
      <c r="Q105" s="82"/>
      <c r="R105" s="83"/>
      <c r="S105" s="82"/>
      <c r="T105" s="83"/>
      <c r="U105" s="83"/>
      <c r="V105" s="83"/>
      <c r="W105" s="83"/>
      <c r="X105" s="84"/>
      <c r="Y105" s="84"/>
    </row>
    <row r="106" spans="1:240" s="74" customFormat="1" ht="11.25">
      <c r="N106" s="81"/>
      <c r="O106" s="81"/>
      <c r="P106" s="82"/>
      <c r="Q106" s="82"/>
      <c r="R106" s="83"/>
      <c r="S106" s="82"/>
      <c r="T106" s="83"/>
      <c r="U106" s="83"/>
      <c r="V106" s="83"/>
      <c r="W106" s="83"/>
      <c r="X106" s="84"/>
      <c r="Y106" s="84"/>
    </row>
    <row r="107" spans="1:240" ht="37.5" customHeight="1">
      <c r="A107" s="288" t="s">
        <v>106</v>
      </c>
      <c r="B107" s="288"/>
      <c r="C107" s="288"/>
      <c r="D107" s="288"/>
      <c r="E107" s="288"/>
      <c r="F107" s="288"/>
      <c r="G107" s="288"/>
      <c r="H107" s="288"/>
      <c r="I107" s="288"/>
      <c r="J107" s="288"/>
      <c r="K107" s="288"/>
      <c r="L107" s="288"/>
      <c r="M107" s="288"/>
      <c r="V107" s="83"/>
      <c r="W107" s="83"/>
    </row>
    <row r="108" spans="1:240">
      <c r="N108" s="198" t="s">
        <v>50</v>
      </c>
      <c r="O108" s="198" t="s">
        <v>47</v>
      </c>
      <c r="Q108" s="235" t="s">
        <v>50</v>
      </c>
      <c r="R108" s="235" t="s">
        <v>47</v>
      </c>
      <c r="T108" s="235" t="s">
        <v>51</v>
      </c>
      <c r="U108" s="235" t="s">
        <v>47</v>
      </c>
      <c r="V108" s="83"/>
      <c r="W108" s="83"/>
    </row>
    <row r="109" spans="1:240">
      <c r="A109" s="19" t="s">
        <v>60</v>
      </c>
      <c r="N109" s="235">
        <v>2</v>
      </c>
      <c r="O109" s="235">
        <v>1.1000000000000001</v>
      </c>
      <c r="Q109" s="235">
        <f>+N109</f>
        <v>2</v>
      </c>
      <c r="R109" s="235">
        <v>1.05</v>
      </c>
      <c r="T109" s="235">
        <v>3</v>
      </c>
      <c r="U109" s="235">
        <f>+O110</f>
        <v>1.1850000000000001</v>
      </c>
      <c r="V109" s="83"/>
      <c r="W109" s="83"/>
    </row>
    <row r="110" spans="1:240">
      <c r="N110" s="236">
        <v>2.85</v>
      </c>
      <c r="O110" s="237">
        <v>1.1850000000000001</v>
      </c>
      <c r="Q110" s="236">
        <f>+N110</f>
        <v>2.85</v>
      </c>
      <c r="R110" s="237">
        <v>1.0900000000000001</v>
      </c>
      <c r="T110" s="236">
        <v>3.66</v>
      </c>
      <c r="U110" s="238">
        <v>1.1200000000000001</v>
      </c>
      <c r="V110" s="83"/>
      <c r="W110" s="83"/>
    </row>
    <row r="111" spans="1:240">
      <c r="A111" s="298" t="s">
        <v>115</v>
      </c>
      <c r="B111" s="298"/>
      <c r="C111" s="298"/>
      <c r="D111" s="298"/>
      <c r="E111" s="298"/>
      <c r="F111" s="298"/>
      <c r="G111" s="298"/>
      <c r="H111" s="298"/>
      <c r="I111" s="298"/>
      <c r="J111" s="298"/>
      <c r="K111" s="298"/>
      <c r="L111" s="298"/>
      <c r="M111" s="298"/>
      <c r="N111" s="235">
        <v>3</v>
      </c>
      <c r="O111" s="235">
        <v>1.2</v>
      </c>
      <c r="Q111" s="235">
        <f>+N111</f>
        <v>3</v>
      </c>
      <c r="R111" s="235">
        <v>1.1000000000000001</v>
      </c>
      <c r="T111" s="235">
        <v>4</v>
      </c>
      <c r="U111" s="235">
        <f>+R110</f>
        <v>1.0900000000000001</v>
      </c>
    </row>
    <row r="112" spans="1:240">
      <c r="A112" s="298"/>
      <c r="B112" s="298"/>
      <c r="C112" s="298"/>
      <c r="D112" s="298"/>
      <c r="E112" s="298"/>
      <c r="F112" s="298"/>
      <c r="G112" s="298"/>
      <c r="H112" s="298"/>
      <c r="I112" s="298"/>
      <c r="J112" s="298"/>
      <c r="K112" s="298"/>
      <c r="L112" s="298"/>
      <c r="M112" s="298"/>
      <c r="N112" s="301" t="s">
        <v>327</v>
      </c>
      <c r="O112" s="301"/>
      <c r="Q112" s="293" t="s">
        <v>328</v>
      </c>
      <c r="R112" s="294"/>
      <c r="T112" s="293"/>
      <c r="U112" s="294"/>
    </row>
    <row r="118" spans="3:4">
      <c r="C118" s="17" t="s">
        <v>2</v>
      </c>
    </row>
    <row r="119" spans="3:4">
      <c r="C119" s="62" t="s">
        <v>61</v>
      </c>
      <c r="D119" s="17" t="s">
        <v>216</v>
      </c>
    </row>
    <row r="120" spans="3:4">
      <c r="C120" s="62"/>
      <c r="D120" s="17" t="s">
        <v>214</v>
      </c>
    </row>
    <row r="121" spans="3:4">
      <c r="C121" s="62"/>
      <c r="D121" s="17" t="s">
        <v>215</v>
      </c>
    </row>
    <row r="122" spans="3:4">
      <c r="C122" s="62" t="s">
        <v>62</v>
      </c>
      <c r="D122" s="17" t="s">
        <v>217</v>
      </c>
    </row>
    <row r="123" spans="3:4">
      <c r="C123" s="62"/>
      <c r="D123" s="17" t="s">
        <v>219</v>
      </c>
    </row>
    <row r="124" spans="3:4">
      <c r="C124" s="62"/>
      <c r="D124" s="17" t="s">
        <v>218</v>
      </c>
    </row>
    <row r="125" spans="3:4">
      <c r="C125" s="62" t="s">
        <v>63</v>
      </c>
      <c r="D125" s="17" t="s">
        <v>220</v>
      </c>
    </row>
    <row r="126" spans="3:4">
      <c r="C126" s="62" t="s">
        <v>64</v>
      </c>
      <c r="D126" s="17" t="s">
        <v>65</v>
      </c>
    </row>
    <row r="127" spans="3:4" ht="17.25" customHeight="1">
      <c r="C127" s="62"/>
      <c r="D127" s="17" t="s">
        <v>107</v>
      </c>
    </row>
    <row r="128" spans="3:4">
      <c r="C128" s="62" t="s">
        <v>66</v>
      </c>
      <c r="D128" s="17" t="s">
        <v>221</v>
      </c>
    </row>
    <row r="129" spans="1:24">
      <c r="C129" s="62"/>
      <c r="D129" s="56"/>
    </row>
    <row r="130" spans="1:24" ht="13.5">
      <c r="D130" s="48" t="s">
        <v>108</v>
      </c>
      <c r="E130" s="49"/>
      <c r="F130" s="53">
        <f>D98/8</f>
        <v>7.4709711470795206</v>
      </c>
      <c r="G130" s="123" t="str">
        <f>E98</f>
        <v>Para tuberías PVC Novafort</v>
      </c>
      <c r="H130" s="72"/>
      <c r="I130" s="60"/>
      <c r="J130" s="72"/>
    </row>
    <row r="131" spans="1:24" ht="13.5">
      <c r="D131" s="48" t="s">
        <v>108</v>
      </c>
      <c r="E131" s="49"/>
      <c r="F131" s="53">
        <f>D100/8</f>
        <v>3.6699507389162553</v>
      </c>
      <c r="G131" s="123" t="s">
        <v>44</v>
      </c>
      <c r="H131" s="72"/>
      <c r="I131" s="60"/>
      <c r="J131" s="72"/>
    </row>
    <row r="132" spans="1:24">
      <c r="D132" s="48" t="s">
        <v>67</v>
      </c>
      <c r="E132" s="49"/>
      <c r="F132" s="53">
        <v>7.18</v>
      </c>
      <c r="G132" s="72" t="s">
        <v>68</v>
      </c>
      <c r="H132" s="72"/>
      <c r="I132" s="72"/>
      <c r="J132" s="72"/>
    </row>
    <row r="134" spans="1:24" s="31" customFormat="1" ht="13.5">
      <c r="B134" s="274" t="str">
        <f>B$40</f>
        <v>Pozo de</v>
      </c>
      <c r="C134" s="274" t="str">
        <f>C$40</f>
        <v>Pozo a</v>
      </c>
      <c r="D134" s="274" t="s">
        <v>130</v>
      </c>
      <c r="E134" s="274" t="s">
        <v>208</v>
      </c>
      <c r="F134" s="274" t="s">
        <v>207</v>
      </c>
      <c r="G134" s="202" t="s">
        <v>9</v>
      </c>
      <c r="H134" s="202" t="s">
        <v>45</v>
      </c>
      <c r="I134" s="274" t="s">
        <v>69</v>
      </c>
      <c r="J134" s="274" t="s">
        <v>70</v>
      </c>
      <c r="K134" s="274" t="s">
        <v>71</v>
      </c>
      <c r="L134" s="202" t="s">
        <v>229</v>
      </c>
      <c r="W134" s="17"/>
      <c r="X134" s="17"/>
    </row>
    <row r="135" spans="1:24">
      <c r="B135" s="275"/>
      <c r="C135" s="275"/>
      <c r="D135" s="275"/>
      <c r="E135" s="287"/>
      <c r="F135" s="287"/>
      <c r="G135" s="146" t="s">
        <v>16</v>
      </c>
      <c r="H135" s="147" t="s">
        <v>49</v>
      </c>
      <c r="I135" s="275"/>
      <c r="J135" s="275"/>
      <c r="K135" s="275"/>
      <c r="L135" s="203" t="s">
        <v>72</v>
      </c>
    </row>
    <row r="136" spans="1:24" s="74" customFormat="1">
      <c r="B136" s="140" t="str">
        <f t="shared" ref="B136:E137" si="15">+B104</f>
        <v>CR-03</v>
      </c>
      <c r="C136" s="140" t="str">
        <f t="shared" si="15"/>
        <v>131828A</v>
      </c>
      <c r="D136" s="135">
        <f t="shared" si="15"/>
        <v>6</v>
      </c>
      <c r="E136" s="135">
        <f t="shared" si="15"/>
        <v>0.2732</v>
      </c>
      <c r="F136" s="135">
        <f>+G65</f>
        <v>1.44</v>
      </c>
      <c r="G136" s="135">
        <f>+F104</f>
        <v>1</v>
      </c>
      <c r="H136" s="135">
        <f>+G104</f>
        <v>31.546781904205176</v>
      </c>
      <c r="I136" s="28">
        <f t="shared" ref="I136:I137" si="16">IF(F136/E136&gt;=2,2.5,3)</f>
        <v>2.5</v>
      </c>
      <c r="J136" s="28">
        <f t="shared" ref="J136:J137" si="17">IF($F$132&lt;=F136,1-0.33*($F$132/F136),1)</f>
        <v>1</v>
      </c>
      <c r="K136" s="135">
        <f t="shared" ref="K136:K137" si="18">1/(1+4*EXP(-0.2133*F136))</f>
        <v>0.2536683511662543</v>
      </c>
      <c r="L136" s="135">
        <f>1/I136*SQRT(32*J136*K136*K104*IF(E136&lt;=0.5,$F$130,$F$131))</f>
        <v>345.74985527574341</v>
      </c>
      <c r="W136" s="76"/>
      <c r="X136" s="76"/>
    </row>
    <row r="137" spans="1:24" s="74" customFormat="1">
      <c r="B137" s="140" t="str">
        <f t="shared" si="15"/>
        <v>131828A</v>
      </c>
      <c r="C137" s="140" t="str">
        <f t="shared" si="15"/>
        <v>131828B</v>
      </c>
      <c r="D137" s="135">
        <f t="shared" si="15"/>
        <v>9.64</v>
      </c>
      <c r="E137" s="135">
        <f t="shared" si="15"/>
        <v>0.2732</v>
      </c>
      <c r="F137" s="135">
        <f>+G66</f>
        <v>1.44</v>
      </c>
      <c r="G137" s="135">
        <f>+F105</f>
        <v>1</v>
      </c>
      <c r="H137" s="135">
        <f>+G105</f>
        <v>31.546781904205176</v>
      </c>
      <c r="I137" s="28">
        <f t="shared" si="16"/>
        <v>2.5</v>
      </c>
      <c r="J137" s="28">
        <f t="shared" si="17"/>
        <v>1</v>
      </c>
      <c r="K137" s="135">
        <f t="shared" si="18"/>
        <v>0.2536683511662543</v>
      </c>
      <c r="L137" s="135">
        <f>1/I137*SQRT(32*J137*K137*K105*IF(E137&lt;=0.5,$F$130,$F$131))</f>
        <v>345.74985527574341</v>
      </c>
      <c r="W137" s="76"/>
      <c r="X137" s="76"/>
    </row>
    <row r="138" spans="1:24" s="74" customFormat="1"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</row>
    <row r="139" spans="1:24">
      <c r="A139" s="17" t="s">
        <v>73</v>
      </c>
      <c r="H139" s="63"/>
    </row>
    <row r="140" spans="1:24">
      <c r="H140" s="63"/>
    </row>
    <row r="141" spans="1:24">
      <c r="H141" s="63"/>
    </row>
    <row r="142" spans="1:24">
      <c r="H142" s="63"/>
    </row>
    <row r="143" spans="1:24">
      <c r="H143" s="63"/>
    </row>
    <row r="144" spans="1:24">
      <c r="H144" s="63"/>
    </row>
    <row r="146" spans="1:24" s="31" customFormat="1" ht="27" customHeight="1">
      <c r="C146" s="202" t="str">
        <f>B$40</f>
        <v>Pozo de</v>
      </c>
      <c r="D146" s="202" t="str">
        <f>C$40</f>
        <v>Pozo a</v>
      </c>
      <c r="E146" s="202" t="s">
        <v>222</v>
      </c>
      <c r="F146" s="204" t="s">
        <v>204</v>
      </c>
      <c r="G146" s="202" t="s">
        <v>207</v>
      </c>
      <c r="H146" s="202" t="s">
        <v>206</v>
      </c>
      <c r="I146" s="202" t="s">
        <v>211</v>
      </c>
      <c r="J146" s="202" t="s">
        <v>230</v>
      </c>
      <c r="K146" s="202" t="s">
        <v>231</v>
      </c>
      <c r="W146" s="17"/>
      <c r="X146" s="17"/>
    </row>
    <row r="147" spans="1:24" s="74" customFormat="1">
      <c r="C147" s="135" t="str">
        <f t="shared" ref="C147:G148" si="19">+B136</f>
        <v>CR-03</v>
      </c>
      <c r="D147" s="135" t="str">
        <f t="shared" si="19"/>
        <v>131828A</v>
      </c>
      <c r="E147" s="135">
        <f t="shared" si="19"/>
        <v>6</v>
      </c>
      <c r="F147" s="135">
        <f t="shared" si="19"/>
        <v>0.2732</v>
      </c>
      <c r="G147" s="135">
        <f t="shared" si="19"/>
        <v>1.44</v>
      </c>
      <c r="H147" s="135">
        <f>+K41</f>
        <v>7.8681599999999987</v>
      </c>
      <c r="I147" s="135">
        <f>+L65</f>
        <v>23.678621904205176</v>
      </c>
      <c r="J147" s="135">
        <f>10*IF(G147&gt;$F$132,G147-$F$132,0)+(J136*H147/F147)+I147/F147</f>
        <v>115.47138325111705</v>
      </c>
      <c r="K147" s="135" t="str">
        <f>IF(J147&lt;L136,"OK","NO CUMPLE")</f>
        <v>OK</v>
      </c>
    </row>
    <row r="148" spans="1:24" s="74" customFormat="1">
      <c r="C148" s="135" t="str">
        <f t="shared" si="19"/>
        <v>131828A</v>
      </c>
      <c r="D148" s="135" t="str">
        <f t="shared" si="19"/>
        <v>131828B</v>
      </c>
      <c r="E148" s="135">
        <f t="shared" si="19"/>
        <v>9.64</v>
      </c>
      <c r="F148" s="135">
        <f t="shared" si="19"/>
        <v>0.2732</v>
      </c>
      <c r="G148" s="135">
        <f t="shared" si="19"/>
        <v>1.44</v>
      </c>
      <c r="H148" s="135">
        <f>+K42</f>
        <v>7.8681599999999987</v>
      </c>
      <c r="I148" s="135">
        <f>+L66</f>
        <v>23.678621904205176</v>
      </c>
      <c r="J148" s="135">
        <f>10*IF(G148&gt;$F$132,G148-$F$132,0)+(J137*H148/F148)+I148/F148</f>
        <v>115.47138325111705</v>
      </c>
      <c r="K148" s="135" t="str">
        <f>IF(J148&lt;L137,"OK","NO CUMPLE")</f>
        <v>OK</v>
      </c>
    </row>
    <row r="149" spans="1:24" s="74" customFormat="1" ht="11.25"/>
    <row r="150" spans="1:24">
      <c r="A150" s="64" t="s">
        <v>74</v>
      </c>
      <c r="B150" s="65"/>
      <c r="C150" s="65"/>
      <c r="D150" s="65"/>
      <c r="E150" s="65"/>
      <c r="F150" s="65"/>
      <c r="G150" s="65"/>
    </row>
    <row r="151" spans="1:24">
      <c r="A151" s="65"/>
      <c r="B151" s="65"/>
      <c r="C151" s="65"/>
      <c r="D151" s="65"/>
      <c r="E151" s="65"/>
      <c r="F151" s="65"/>
      <c r="G151" s="65"/>
    </row>
    <row r="152" spans="1:24">
      <c r="A152" s="65" t="s">
        <v>109</v>
      </c>
      <c r="B152" s="65"/>
      <c r="C152" s="65"/>
      <c r="D152" s="65"/>
      <c r="E152" s="65"/>
      <c r="F152" s="65"/>
      <c r="G152" s="65"/>
    </row>
    <row r="153" spans="1:24">
      <c r="A153" s="65"/>
      <c r="B153" s="65"/>
      <c r="C153" s="65"/>
      <c r="D153" s="65"/>
      <c r="E153" s="65"/>
      <c r="F153" s="65"/>
      <c r="G153" s="65"/>
    </row>
    <row r="154" spans="1:24">
      <c r="A154" s="1"/>
      <c r="B154" s="65"/>
      <c r="C154" s="65"/>
      <c r="D154" s="65"/>
      <c r="E154" s="65"/>
      <c r="F154" s="65"/>
      <c r="G154" s="65"/>
    </row>
    <row r="155" spans="1:24">
      <c r="A155" s="65"/>
      <c r="B155" s="65"/>
      <c r="C155" s="65"/>
      <c r="D155" s="65"/>
      <c r="E155" s="65"/>
      <c r="F155" s="65"/>
      <c r="G155" s="65"/>
    </row>
    <row r="156" spans="1:24">
      <c r="A156" s="65"/>
      <c r="B156" s="65"/>
      <c r="C156" s="65"/>
      <c r="D156" s="65"/>
      <c r="E156" s="65"/>
      <c r="F156" s="65"/>
      <c r="G156" s="65"/>
    </row>
    <row r="157" spans="1:24">
      <c r="A157" s="65" t="s">
        <v>2</v>
      </c>
      <c r="B157" s="65"/>
      <c r="C157" s="65"/>
      <c r="D157" s="65"/>
      <c r="E157" s="65"/>
      <c r="F157" s="65"/>
      <c r="G157" s="65"/>
    </row>
    <row r="158" spans="1:24" ht="13.5">
      <c r="A158" s="65"/>
      <c r="B158" s="66" t="s">
        <v>110</v>
      </c>
      <c r="C158" s="67" t="s">
        <v>75</v>
      </c>
      <c r="D158" s="67"/>
      <c r="E158" s="65"/>
      <c r="F158" s="65"/>
      <c r="G158" s="65"/>
    </row>
    <row r="159" spans="1:24">
      <c r="A159" s="65"/>
      <c r="B159" s="66" t="s">
        <v>26</v>
      </c>
      <c r="C159" s="67" t="s">
        <v>76</v>
      </c>
      <c r="D159" s="65"/>
      <c r="E159" s="65"/>
      <c r="F159" s="65"/>
      <c r="G159" s="65"/>
    </row>
    <row r="160" spans="1:24" ht="13.5">
      <c r="A160" s="65"/>
      <c r="B160" s="66" t="s">
        <v>77</v>
      </c>
      <c r="C160" s="65" t="s">
        <v>111</v>
      </c>
      <c r="D160" s="65"/>
      <c r="E160" s="65"/>
      <c r="F160" s="65"/>
      <c r="G160" s="65"/>
    </row>
    <row r="161" spans="1:22">
      <c r="A161" s="65"/>
      <c r="B161" s="65"/>
      <c r="C161" s="65"/>
      <c r="D161" s="65"/>
      <c r="E161" s="65"/>
      <c r="F161" s="65"/>
      <c r="G161" s="65"/>
    </row>
    <row r="162" spans="1:22" ht="14.25">
      <c r="A162" s="65" t="s">
        <v>112</v>
      </c>
      <c r="B162" s="65"/>
      <c r="C162" s="65"/>
      <c r="D162" s="65"/>
      <c r="E162" s="65"/>
      <c r="F162" s="65"/>
      <c r="G162" s="65"/>
    </row>
    <row r="163" spans="1:22">
      <c r="B163" s="65"/>
      <c r="C163" s="65"/>
      <c r="D163" s="65"/>
      <c r="E163" s="65"/>
      <c r="F163" s="65"/>
      <c r="G163" s="65"/>
      <c r="H163" s="65"/>
    </row>
    <row r="164" spans="1:22" ht="25.5">
      <c r="D164" s="149" t="str">
        <f>B40</f>
        <v>Pozo de</v>
      </c>
      <c r="E164" s="149" t="str">
        <f>C40</f>
        <v>Pozo a</v>
      </c>
      <c r="F164" s="202" t="str">
        <f>E40</f>
        <v>Diám Nominal (in)</v>
      </c>
      <c r="G164" s="202" t="s">
        <v>208</v>
      </c>
      <c r="H164" s="149" t="s">
        <v>212</v>
      </c>
      <c r="I164" s="150" t="s">
        <v>232</v>
      </c>
      <c r="J164" s="150" t="s">
        <v>233</v>
      </c>
      <c r="O164" s="199"/>
      <c r="P164" s="199"/>
      <c r="Q164" s="199"/>
      <c r="R164" s="199"/>
      <c r="S164" s="199"/>
      <c r="T164" s="199"/>
      <c r="U164" s="199"/>
      <c r="V164" s="199"/>
    </row>
    <row r="165" spans="1:22" s="74" customFormat="1">
      <c r="D165" s="151" t="str">
        <f>+C147</f>
        <v>CR-03</v>
      </c>
      <c r="E165" s="151" t="str">
        <f>+D147</f>
        <v>131828A</v>
      </c>
      <c r="F165" s="151">
        <f>+E41</f>
        <v>10</v>
      </c>
      <c r="G165" s="152">
        <f>+F147</f>
        <v>0.2732</v>
      </c>
      <c r="H165" s="152">
        <f>+I147+H147</f>
        <v>31.546781904205176</v>
      </c>
      <c r="I165" s="152">
        <f t="shared" ref="I165:I166" si="20">2*H165/(PI()*G165)</f>
        <v>73.511365720295885</v>
      </c>
      <c r="J165" s="152" t="str">
        <f t="shared" ref="J165:J166" si="21">IF(I165&lt;67500,"OK","Falta")</f>
        <v>OK</v>
      </c>
    </row>
    <row r="166" spans="1:22" s="74" customFormat="1">
      <c r="D166" s="151" t="str">
        <f>+C148</f>
        <v>131828A</v>
      </c>
      <c r="E166" s="151" t="str">
        <f>+D148</f>
        <v>131828B</v>
      </c>
      <c r="F166" s="151">
        <f>+E42</f>
        <v>10</v>
      </c>
      <c r="G166" s="152">
        <f>+F148</f>
        <v>0.2732</v>
      </c>
      <c r="H166" s="152">
        <f>+I148+H148</f>
        <v>31.546781904205176</v>
      </c>
      <c r="I166" s="152">
        <f t="shared" si="20"/>
        <v>73.511365720295885</v>
      </c>
      <c r="J166" s="152" t="str">
        <f t="shared" si="21"/>
        <v>OK</v>
      </c>
    </row>
    <row r="167" spans="1:22" s="74" customFormat="1">
      <c r="D167" s="218"/>
      <c r="E167" s="218"/>
      <c r="F167" s="218"/>
      <c r="G167" s="219"/>
      <c r="H167" s="219"/>
      <c r="I167" s="219"/>
      <c r="J167" s="219"/>
    </row>
    <row r="168" spans="1:22" s="74" customFormat="1">
      <c r="A168" s="64" t="s">
        <v>240</v>
      </c>
    </row>
    <row r="169" spans="1:22" s="74" customFormat="1">
      <c r="A169" s="65"/>
    </row>
    <row r="170" spans="1:22" s="74" customFormat="1" ht="35.25" customHeight="1">
      <c r="A170" s="292" t="s">
        <v>379</v>
      </c>
      <c r="B170" s="292"/>
      <c r="C170" s="292"/>
      <c r="D170" s="292"/>
      <c r="E170" s="292"/>
      <c r="F170" s="292"/>
      <c r="G170" s="292"/>
      <c r="H170" s="292"/>
      <c r="I170" s="292"/>
      <c r="J170" s="292"/>
      <c r="K170" s="292"/>
      <c r="L170" s="292"/>
      <c r="M170" s="292"/>
    </row>
    <row r="171" spans="1:22" s="74" customFormat="1">
      <c r="A171" s="65"/>
    </row>
    <row r="172" spans="1:22" s="74" customFormat="1" ht="11.25" customHeight="1">
      <c r="D172" s="286" t="s">
        <v>125</v>
      </c>
      <c r="E172" s="286" t="s">
        <v>126</v>
      </c>
      <c r="F172" s="286" t="s">
        <v>134</v>
      </c>
      <c r="G172" s="279" t="s">
        <v>191</v>
      </c>
      <c r="H172" s="299" t="s">
        <v>135</v>
      </c>
      <c r="I172" s="286" t="s">
        <v>131</v>
      </c>
    </row>
    <row r="173" spans="1:22" s="74" customFormat="1" ht="11.25" customHeight="1">
      <c r="D173" s="287"/>
      <c r="E173" s="287"/>
      <c r="F173" s="287"/>
      <c r="G173" s="279"/>
      <c r="H173" s="300"/>
      <c r="I173" s="287"/>
    </row>
    <row r="174" spans="1:22" s="74" customFormat="1">
      <c r="D174" s="90" t="str">
        <f>+B65</f>
        <v>CR-03</v>
      </c>
      <c r="E174" s="90" t="str">
        <f>+C65</f>
        <v>131828A</v>
      </c>
      <c r="F174" s="21">
        <f>+G65</f>
        <v>1.44</v>
      </c>
      <c r="G174" s="21">
        <f>+P41</f>
        <v>1.8132000000000001</v>
      </c>
      <c r="H174" s="153" t="str">
        <f t="shared" ref="H174:H175" si="22">+IF(G174&gt;0.5,"NO","SI")</f>
        <v>NO</v>
      </c>
      <c r="I174" s="198" t="s">
        <v>380</v>
      </c>
    </row>
    <row r="175" spans="1:22" s="74" customFormat="1">
      <c r="D175" s="90" t="str">
        <f>+B66</f>
        <v>131828A</v>
      </c>
      <c r="E175" s="90" t="str">
        <f>+C66</f>
        <v>131828B</v>
      </c>
      <c r="F175" s="21">
        <f>+G66</f>
        <v>1.44</v>
      </c>
      <c r="G175" s="21">
        <f>+P42</f>
        <v>1.8132000000000001</v>
      </c>
      <c r="H175" s="153" t="str">
        <f t="shared" si="22"/>
        <v>NO</v>
      </c>
      <c r="I175" s="198" t="s">
        <v>380</v>
      </c>
    </row>
    <row r="177" spans="1:13">
      <c r="A177" s="64" t="s">
        <v>398</v>
      </c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</row>
    <row r="178" spans="1:13">
      <c r="A178" s="65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</row>
    <row r="179" spans="1:13">
      <c r="A179" s="17" t="s">
        <v>392</v>
      </c>
    </row>
    <row r="203" spans="2:12">
      <c r="B203" s="279" t="s">
        <v>128</v>
      </c>
      <c r="C203" s="279" t="s">
        <v>129</v>
      </c>
      <c r="D203" s="317" t="s">
        <v>48</v>
      </c>
      <c r="E203" s="317" t="s">
        <v>16</v>
      </c>
      <c r="F203" s="317" t="s">
        <v>134</v>
      </c>
      <c r="G203" s="279" t="s">
        <v>191</v>
      </c>
      <c r="H203" s="279" t="s">
        <v>393</v>
      </c>
      <c r="I203" s="279" t="s">
        <v>394</v>
      </c>
      <c r="J203" s="279" t="s">
        <v>395</v>
      </c>
      <c r="K203" s="279" t="s">
        <v>396</v>
      </c>
      <c r="L203" s="279" t="s">
        <v>397</v>
      </c>
    </row>
    <row r="204" spans="2:12">
      <c r="B204" s="279"/>
      <c r="C204" s="279"/>
      <c r="D204" s="317"/>
      <c r="E204" s="317"/>
      <c r="F204" s="317"/>
      <c r="G204" s="279"/>
      <c r="H204" s="279"/>
      <c r="I204" s="279"/>
      <c r="J204" s="279"/>
      <c r="K204" s="279"/>
      <c r="L204" s="279"/>
    </row>
    <row r="205" spans="2:12">
      <c r="B205" s="90" t="str">
        <f>+D174</f>
        <v>CR-03</v>
      </c>
      <c r="C205" s="90" t="str">
        <f>+E174</f>
        <v>131828A</v>
      </c>
      <c r="D205" s="21">
        <f>+G165</f>
        <v>0.2732</v>
      </c>
      <c r="E205" s="21">
        <f>+G136</f>
        <v>1</v>
      </c>
      <c r="F205" s="21">
        <f>+F174</f>
        <v>1.44</v>
      </c>
      <c r="G205" s="21">
        <f>+G174</f>
        <v>1.8132000000000001</v>
      </c>
      <c r="H205" s="21">
        <v>0.1</v>
      </c>
      <c r="I205" s="21">
        <f t="shared" ref="I205:I206" si="23">+D205*0.6</f>
        <v>0.16391999999999998</v>
      </c>
      <c r="J205" s="21">
        <f t="shared" ref="J205:J206" si="24">(0.4*D205)+0.3</f>
        <v>0.40927999999999998</v>
      </c>
      <c r="K205" s="21">
        <f t="shared" ref="K205:K206" si="25">G205-J205-I205-H205-L205</f>
        <v>0.64000000000000012</v>
      </c>
      <c r="L205" s="21">
        <v>0.5</v>
      </c>
    </row>
    <row r="206" spans="2:12">
      <c r="B206" s="90" t="str">
        <f>+D175</f>
        <v>131828A</v>
      </c>
      <c r="C206" s="90" t="str">
        <f>+E175</f>
        <v>131828B</v>
      </c>
      <c r="D206" s="21">
        <f>+G166</f>
        <v>0.2732</v>
      </c>
      <c r="E206" s="21">
        <f>+G137</f>
        <v>1</v>
      </c>
      <c r="F206" s="21">
        <f>+F175</f>
        <v>1.44</v>
      </c>
      <c r="G206" s="21">
        <f>+G175</f>
        <v>1.8132000000000001</v>
      </c>
      <c r="H206" s="21">
        <v>0.1</v>
      </c>
      <c r="I206" s="21">
        <f t="shared" si="23"/>
        <v>0.16391999999999998</v>
      </c>
      <c r="J206" s="21">
        <f t="shared" si="24"/>
        <v>0.40927999999999998</v>
      </c>
      <c r="K206" s="21">
        <f t="shared" si="25"/>
        <v>0.64000000000000012</v>
      </c>
      <c r="L206" s="21">
        <v>0.5</v>
      </c>
    </row>
    <row r="208" spans="2:12">
      <c r="K208" s="17" t="s">
        <v>136</v>
      </c>
    </row>
  </sheetData>
  <autoFilter ref="A40:M42" xr:uid="{00000000-0001-0000-0400-000000000000}"/>
  <mergeCells count="37">
    <mergeCell ref="A170:M170"/>
    <mergeCell ref="D172:D173"/>
    <mergeCell ref="E172:E173"/>
    <mergeCell ref="F172:F173"/>
    <mergeCell ref="G172:G173"/>
    <mergeCell ref="H172:H173"/>
    <mergeCell ref="I172:I173"/>
    <mergeCell ref="S83:S84"/>
    <mergeCell ref="T83:AA83"/>
    <mergeCell ref="A107:M107"/>
    <mergeCell ref="A111:M112"/>
    <mergeCell ref="B134:B135"/>
    <mergeCell ref="C134:C135"/>
    <mergeCell ref="D134:D135"/>
    <mergeCell ref="E134:E135"/>
    <mergeCell ref="F134:F135"/>
    <mergeCell ref="N112:O112"/>
    <mergeCell ref="Q112:R112"/>
    <mergeCell ref="T112:U112"/>
    <mergeCell ref="A2:M2"/>
    <mergeCell ref="A3:M3"/>
    <mergeCell ref="C60:C62"/>
    <mergeCell ref="A70:M71"/>
    <mergeCell ref="I134:I135"/>
    <mergeCell ref="J134:J135"/>
    <mergeCell ref="K134:K135"/>
    <mergeCell ref="B203:B204"/>
    <mergeCell ref="C203:C204"/>
    <mergeCell ref="D203:D204"/>
    <mergeCell ref="E203:E204"/>
    <mergeCell ref="F203:F204"/>
    <mergeCell ref="L203:L204"/>
    <mergeCell ref="G203:G204"/>
    <mergeCell ref="H203:H204"/>
    <mergeCell ref="I203:I204"/>
    <mergeCell ref="J203:J204"/>
    <mergeCell ref="K203:K204"/>
  </mergeCells>
  <conditionalFormatting sqref="L104:L105">
    <cfRule type="cellIs" dxfId="5" priority="1" stopIfTrue="1" operator="greaterThanOrEqual">
      <formula>5</formula>
    </cfRule>
  </conditionalFormatting>
  <printOptions horizontalCentered="1"/>
  <pageMargins left="0.78740157480314965" right="0.78740157480314965" top="1.1811023622047245" bottom="1.1811023622047245" header="0.78740157480314965" footer="0.78740157480314965"/>
  <pageSetup scale="61" fitToHeight="0" orientation="portrait" r:id="rId1"/>
  <rowBreaks count="2" manualBreakCount="2">
    <brk id="67" max="12" man="1"/>
    <brk id="138" max="12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8057F-CF48-416A-8BDB-5E0097BADD7B}">
  <sheetPr>
    <tabColor theme="6" tint="0.39997558519241921"/>
    <pageSetUpPr fitToPage="1"/>
  </sheetPr>
  <dimension ref="A2:IF209"/>
  <sheetViews>
    <sheetView view="pageBreakPreview" topLeftCell="A169" zoomScale="90" zoomScaleNormal="90" zoomScaleSheetLayoutView="90" workbookViewId="0">
      <selection activeCell="A2" sqref="A2:XFD3"/>
    </sheetView>
  </sheetViews>
  <sheetFormatPr baseColWidth="10" defaultColWidth="11.42578125" defaultRowHeight="12"/>
  <cols>
    <col min="1" max="2" width="9.140625" style="17" customWidth="1"/>
    <col min="3" max="3" width="9.5703125" style="17" customWidth="1"/>
    <col min="4" max="4" width="9.28515625" style="17" customWidth="1"/>
    <col min="5" max="5" width="12.140625" style="17" customWidth="1"/>
    <col min="6" max="6" width="12.7109375" style="17" customWidth="1"/>
    <col min="7" max="7" width="15.7109375" style="17" customWidth="1"/>
    <col min="8" max="8" width="12.7109375" style="17" customWidth="1"/>
    <col min="9" max="9" width="10.85546875" style="17" customWidth="1"/>
    <col min="10" max="10" width="11" style="17" customWidth="1"/>
    <col min="11" max="11" width="10.28515625" style="17" customWidth="1"/>
    <col min="12" max="12" width="12.5703125" style="17" customWidth="1"/>
    <col min="13" max="13" width="12.85546875" style="17" customWidth="1"/>
    <col min="14" max="14" width="11.42578125" style="17"/>
    <col min="15" max="16" width="11.85546875" style="17" bestFit="1" customWidth="1"/>
    <col min="17" max="17" width="11.85546875" style="17" customWidth="1"/>
    <col min="18" max="18" width="11.85546875" style="17" bestFit="1" customWidth="1"/>
    <col min="19" max="19" width="16.28515625" style="17" bestFit="1" customWidth="1"/>
    <col min="20" max="20" width="11.85546875" style="17" bestFit="1" customWidth="1"/>
    <col min="21" max="21" width="15.140625" style="17" customWidth="1"/>
    <col min="22" max="22" width="11.5703125" style="17" bestFit="1" customWidth="1"/>
    <col min="23" max="23" width="15" style="17" customWidth="1"/>
    <col min="24" max="24" width="11.5703125" style="17" bestFit="1" customWidth="1"/>
    <col min="25" max="16384" width="11.42578125" style="17"/>
  </cols>
  <sheetData>
    <row r="2" spans="1:13" ht="12.75" customHeight="1">
      <c r="A2" s="302" t="s">
        <v>236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3" spans="1:13" s="56" customFormat="1" ht="12.75" customHeight="1">
      <c r="A3" s="303" t="s">
        <v>342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</row>
    <row r="5" spans="1:13">
      <c r="A5" s="19" t="s">
        <v>78</v>
      </c>
    </row>
    <row r="7" spans="1:13">
      <c r="A7" s="19" t="s">
        <v>0</v>
      </c>
    </row>
    <row r="8" spans="1:13">
      <c r="A8" s="19"/>
    </row>
    <row r="9" spans="1:13">
      <c r="A9" s="19" t="s">
        <v>1</v>
      </c>
    </row>
    <row r="10" spans="1:13" ht="12.75" customHeight="1"/>
    <row r="11" spans="1:13" ht="12.75" customHeight="1"/>
    <row r="12" spans="1:13" ht="12.75" customHeight="1"/>
    <row r="13" spans="1:13">
      <c r="E13" s="20"/>
      <c r="F13" s="20"/>
      <c r="G13" s="18"/>
    </row>
    <row r="14" spans="1:13">
      <c r="D14" s="17" t="s">
        <v>2</v>
      </c>
    </row>
    <row r="15" spans="1:13">
      <c r="E15" s="20"/>
      <c r="F15" s="20"/>
      <c r="G15" s="18"/>
    </row>
    <row r="16" spans="1:13">
      <c r="E16" s="20"/>
      <c r="F16" s="20"/>
      <c r="G16" s="18"/>
    </row>
    <row r="17" spans="1:15">
      <c r="E17" s="20"/>
      <c r="F17" s="20"/>
      <c r="G17" s="18"/>
    </row>
    <row r="18" spans="1:15">
      <c r="E18" s="20"/>
      <c r="F18" s="20"/>
      <c r="G18" s="18"/>
    </row>
    <row r="19" spans="1:15">
      <c r="E19" s="20"/>
      <c r="F19" s="20"/>
      <c r="G19" s="18"/>
    </row>
    <row r="20" spans="1:15">
      <c r="E20" s="20"/>
      <c r="F20" s="20"/>
      <c r="G20" s="18"/>
    </row>
    <row r="21" spans="1:15">
      <c r="E21" s="20"/>
      <c r="F21" s="20"/>
      <c r="G21" s="18"/>
    </row>
    <row r="22" spans="1:15">
      <c r="E22" s="20"/>
      <c r="F22" s="20"/>
      <c r="G22" s="18"/>
    </row>
    <row r="23" spans="1:15" ht="7.5" customHeight="1">
      <c r="E23" s="20"/>
      <c r="F23" s="20"/>
      <c r="G23" s="18"/>
    </row>
    <row r="25" spans="1:15">
      <c r="A25" s="19" t="s">
        <v>3</v>
      </c>
      <c r="G25" s="18"/>
    </row>
    <row r="26" spans="1:15">
      <c r="G26" s="18"/>
    </row>
    <row r="27" spans="1:15">
      <c r="G27" s="18"/>
    </row>
    <row r="28" spans="1:15">
      <c r="G28" s="18"/>
    </row>
    <row r="29" spans="1:15">
      <c r="E29" s="20"/>
      <c r="F29" s="20"/>
      <c r="G29" s="18"/>
    </row>
    <row r="30" spans="1:15">
      <c r="D30" s="17" t="s">
        <v>2</v>
      </c>
      <c r="G30" s="18"/>
      <c r="N30" s="29"/>
      <c r="O30" s="29"/>
    </row>
    <row r="31" spans="1:15">
      <c r="G31" s="18"/>
      <c r="N31" s="29"/>
      <c r="O31" s="29"/>
    </row>
    <row r="32" spans="1:15">
      <c r="E32" s="20"/>
      <c r="F32" s="20"/>
      <c r="G32" s="18"/>
      <c r="N32" s="29"/>
      <c r="O32" s="29"/>
    </row>
    <row r="33" spans="1:22" ht="18.75" customHeight="1">
      <c r="E33" s="22"/>
      <c r="F33" s="22"/>
      <c r="G33" s="18"/>
      <c r="N33" s="29"/>
      <c r="O33" s="29"/>
    </row>
    <row r="34" spans="1:22">
      <c r="A34" s="17" t="s">
        <v>4</v>
      </c>
      <c r="N34" s="29"/>
      <c r="O34" s="29"/>
    </row>
    <row r="35" spans="1:22" ht="16.5" customHeight="1">
      <c r="N35" s="29"/>
      <c r="O35" s="29"/>
    </row>
    <row r="36" spans="1:22">
      <c r="C36" s="23" t="s">
        <v>96</v>
      </c>
      <c r="D36" s="41">
        <v>30</v>
      </c>
      <c r="E36" s="130"/>
      <c r="F36" s="131" t="s">
        <v>97</v>
      </c>
      <c r="G36" s="132">
        <f>D36*PI()/180</f>
        <v>0.52359877559829882</v>
      </c>
      <c r="K36" s="26"/>
    </row>
    <row r="37" spans="1:22" ht="13.5">
      <c r="C37" s="27" t="s">
        <v>5</v>
      </c>
      <c r="D37" s="132">
        <f>(TAN(PI()/4-G36/2))^2</f>
        <v>0.33333333333333343</v>
      </c>
      <c r="E37" s="130"/>
      <c r="F37" s="131" t="s">
        <v>98</v>
      </c>
      <c r="G37" s="54">
        <v>20</v>
      </c>
      <c r="K37" s="26"/>
    </row>
    <row r="38" spans="1:22">
      <c r="C38" s="23" t="s">
        <v>99</v>
      </c>
      <c r="D38" s="25">
        <f>TAN(G36)</f>
        <v>0.57735026918962573</v>
      </c>
      <c r="E38" s="24"/>
      <c r="K38" s="26"/>
    </row>
    <row r="40" spans="1:22" s="31" customFormat="1" ht="36.75" customHeight="1">
      <c r="A40" s="168"/>
      <c r="B40" s="138" t="s">
        <v>128</v>
      </c>
      <c r="C40" s="202" t="s">
        <v>129</v>
      </c>
      <c r="D40" s="202" t="s">
        <v>130</v>
      </c>
      <c r="E40" s="202" t="s">
        <v>209</v>
      </c>
      <c r="F40" s="202" t="s">
        <v>208</v>
      </c>
      <c r="G40" s="202" t="s">
        <v>223</v>
      </c>
      <c r="H40" s="202" t="s">
        <v>207</v>
      </c>
      <c r="I40" s="202" t="s">
        <v>205</v>
      </c>
      <c r="J40" s="204" t="s">
        <v>10</v>
      </c>
      <c r="K40" s="202" t="s">
        <v>206</v>
      </c>
      <c r="L40" s="202" t="s">
        <v>202</v>
      </c>
      <c r="O40" s="138" t="s">
        <v>203</v>
      </c>
      <c r="P40" s="198" t="s">
        <v>11</v>
      </c>
      <c r="Q40" s="137" t="s">
        <v>12</v>
      </c>
      <c r="R40" s="201"/>
      <c r="S40" s="197"/>
      <c r="V40" s="17"/>
    </row>
    <row r="41" spans="1:22" ht="13.5" customHeight="1">
      <c r="A41" s="169"/>
      <c r="B41" s="55" t="s">
        <v>303</v>
      </c>
      <c r="C41" s="178" t="s">
        <v>304</v>
      </c>
      <c r="D41" s="53">
        <v>11.5</v>
      </c>
      <c r="E41" s="55">
        <v>10</v>
      </c>
      <c r="F41" s="134">
        <f>+INDEX(Especificaciones!$C$5:$C$25,MATCH('Flexible - D P6'!O41,Especificaciones!$B$5:$B$25,-1))</f>
        <v>0.2732</v>
      </c>
      <c r="G41" s="231">
        <v>2665.18</v>
      </c>
      <c r="H41" s="231">
        <v>2.12</v>
      </c>
      <c r="I41" s="53">
        <v>1</v>
      </c>
      <c r="J41" s="32">
        <f t="shared" ref="J41:J42" si="0">IF(I41&gt;=2*F41,H41/F41,(1-EXP(-2*$D$37*$D$38*H41/I41))/(2*$D$37*$D$38))</f>
        <v>7.7598828696925333</v>
      </c>
      <c r="K41" s="135">
        <f t="shared" ref="K41:K42" si="1">IF(I41&gt;=2*F41,J41*$G$37*F41^2,J41*$G$37*I41*F41)</f>
        <v>11.583680000000001</v>
      </c>
      <c r="L41" s="135" t="s">
        <v>17</v>
      </c>
      <c r="N41" s="38"/>
      <c r="O41" s="55">
        <v>250</v>
      </c>
      <c r="P41" s="21">
        <f t="shared" ref="P41:P42" si="2">+F41+H41+0.1</f>
        <v>2.4932000000000003</v>
      </c>
      <c r="Q41" s="21">
        <f t="shared" ref="Q41:Q42" si="3">P41*1.5</f>
        <v>3.7398000000000007</v>
      </c>
      <c r="R41" s="13"/>
      <c r="S41" s="14"/>
      <c r="T41" s="29"/>
      <c r="U41" s="14"/>
      <c r="V41" s="29"/>
    </row>
    <row r="42" spans="1:22" ht="13.5" customHeight="1">
      <c r="A42" s="169"/>
      <c r="B42" s="55" t="s">
        <v>305</v>
      </c>
      <c r="C42" s="178">
        <v>156416</v>
      </c>
      <c r="D42" s="53">
        <v>10</v>
      </c>
      <c r="E42" s="55">
        <v>10</v>
      </c>
      <c r="F42" s="134">
        <f>+INDEX(Especificaciones!$C$5:$C$25,MATCH('Flexible - D P6'!O42,Especificaciones!$B$5:$B$25,-1))</f>
        <v>0.2732</v>
      </c>
      <c r="G42" s="231">
        <v>2668.07</v>
      </c>
      <c r="H42" s="231">
        <v>1.88</v>
      </c>
      <c r="I42" s="53">
        <v>1</v>
      </c>
      <c r="J42" s="32">
        <f t="shared" si="0"/>
        <v>6.8814055636896043</v>
      </c>
      <c r="K42" s="135">
        <f t="shared" si="1"/>
        <v>10.272319999999999</v>
      </c>
      <c r="L42" s="135" t="s">
        <v>17</v>
      </c>
      <c r="N42" s="38"/>
      <c r="O42" s="55">
        <v>250</v>
      </c>
      <c r="P42" s="21">
        <f t="shared" si="2"/>
        <v>2.2532000000000001</v>
      </c>
      <c r="Q42" s="21">
        <f t="shared" si="3"/>
        <v>3.3798000000000004</v>
      </c>
      <c r="R42" s="13"/>
      <c r="S42" s="14"/>
      <c r="T42" s="29"/>
      <c r="U42" s="14"/>
      <c r="V42" s="29"/>
    </row>
    <row r="43" spans="1:22">
      <c r="A43" s="199"/>
      <c r="B43" s="199"/>
      <c r="C43" s="35"/>
      <c r="D43" s="71"/>
      <c r="E43" s="36"/>
      <c r="F43" s="35"/>
      <c r="H43" s="35"/>
      <c r="I43" s="35"/>
      <c r="J43" s="60"/>
      <c r="K43" s="36"/>
      <c r="L43" s="36"/>
      <c r="M43" s="37"/>
      <c r="N43" s="38"/>
      <c r="O43" s="55"/>
      <c r="P43" s="21"/>
      <c r="Q43" s="21"/>
    </row>
    <row r="44" spans="1:22">
      <c r="A44" s="19" t="s">
        <v>18</v>
      </c>
      <c r="B44" s="39"/>
      <c r="C44" s="19"/>
      <c r="D44" s="19"/>
      <c r="E44" s="19"/>
      <c r="F44" s="19"/>
      <c r="G44" s="19"/>
      <c r="H44" s="19"/>
      <c r="I44" s="19"/>
      <c r="J44" s="19"/>
      <c r="K44" s="19"/>
      <c r="L44" s="19"/>
    </row>
    <row r="45" spans="1:22">
      <c r="A45" s="19"/>
      <c r="B45" s="19"/>
      <c r="C45" s="19"/>
      <c r="D45" s="19"/>
      <c r="E45" s="40"/>
      <c r="F45" s="20"/>
      <c r="G45" s="40"/>
      <c r="H45" s="19"/>
      <c r="I45" s="19"/>
      <c r="J45" s="19"/>
      <c r="K45" s="19"/>
      <c r="L45" s="19"/>
    </row>
    <row r="46" spans="1:22">
      <c r="A46" s="19"/>
      <c r="B46" s="19"/>
      <c r="C46" s="19"/>
      <c r="H46" s="19"/>
      <c r="I46" s="19"/>
      <c r="J46" s="19"/>
      <c r="K46" s="19"/>
      <c r="L46" s="19"/>
      <c r="O46" s="29"/>
    </row>
    <row r="47" spans="1:22">
      <c r="A47" s="19"/>
      <c r="B47" s="19"/>
      <c r="C47" s="19"/>
      <c r="H47" s="19"/>
      <c r="I47" s="19"/>
      <c r="J47" s="19"/>
      <c r="K47" s="19"/>
      <c r="L47" s="19"/>
    </row>
    <row r="48" spans="1:22">
      <c r="B48" s="19"/>
      <c r="C48" s="19"/>
      <c r="H48" s="19"/>
      <c r="I48" s="19"/>
      <c r="J48" s="19"/>
      <c r="K48" s="19"/>
      <c r="L48" s="19"/>
    </row>
    <row r="49" spans="1:26" s="31" customFormat="1" ht="11.25" customHeight="1">
      <c r="A49" s="19"/>
      <c r="B49" s="19"/>
      <c r="C49" s="19"/>
      <c r="D49" s="17" t="s">
        <v>2</v>
      </c>
      <c r="E49" s="19"/>
      <c r="F49" s="19"/>
      <c r="G49" s="19"/>
      <c r="H49" s="19"/>
      <c r="I49" s="19"/>
      <c r="J49" s="19"/>
      <c r="K49" s="19"/>
      <c r="L49" s="19"/>
      <c r="M49" s="17"/>
      <c r="N49" s="17"/>
      <c r="P49" s="17"/>
      <c r="Q49" s="17"/>
      <c r="R49" s="17"/>
      <c r="S49" s="17"/>
      <c r="T49" s="17"/>
      <c r="U49" s="17"/>
      <c r="W49" s="17"/>
      <c r="X49" s="17"/>
      <c r="Y49" s="17"/>
      <c r="Z49" s="17"/>
    </row>
    <row r="50" spans="1:26" s="31" customFormat="1" ht="16.5" customHeight="1">
      <c r="A50" s="19"/>
      <c r="B50" s="19"/>
      <c r="C50" s="19"/>
      <c r="D50" s="17"/>
      <c r="E50" s="40"/>
      <c r="F50" s="40"/>
      <c r="G50" s="40"/>
      <c r="H50" s="19"/>
      <c r="I50" s="19"/>
      <c r="J50" s="19"/>
      <c r="K50" s="19"/>
      <c r="L50" s="19"/>
      <c r="M50" s="17"/>
      <c r="N50" s="17"/>
      <c r="P50" s="17"/>
      <c r="Q50" s="17"/>
      <c r="R50" s="17"/>
      <c r="S50" s="17"/>
      <c r="T50" s="17"/>
      <c r="U50" s="17"/>
      <c r="W50" s="17"/>
      <c r="X50" s="17"/>
      <c r="Y50" s="17"/>
      <c r="Z50" s="17"/>
    </row>
    <row r="51" spans="1:26" s="31" customFormat="1" ht="18.75" customHeight="1">
      <c r="A51" s="19"/>
      <c r="B51" s="19"/>
      <c r="C51" s="19"/>
      <c r="D51" s="17"/>
      <c r="E51" s="40"/>
      <c r="F51" s="40"/>
      <c r="G51" s="40"/>
      <c r="H51" s="19"/>
      <c r="I51" s="19"/>
      <c r="J51" s="19"/>
      <c r="K51" s="19"/>
      <c r="L51" s="19"/>
      <c r="M51" s="17"/>
      <c r="N51" s="17"/>
      <c r="P51" s="17"/>
      <c r="Q51" s="17"/>
      <c r="R51" s="17"/>
      <c r="S51" s="17"/>
      <c r="T51" s="17"/>
      <c r="U51" s="17"/>
      <c r="W51" s="17"/>
      <c r="X51" s="17"/>
      <c r="Y51" s="17"/>
      <c r="Z51" s="17"/>
    </row>
    <row r="52" spans="1:26" s="31" customFormat="1" ht="18.75" customHeight="1">
      <c r="A52" s="19"/>
      <c r="B52" s="19"/>
      <c r="C52" s="19"/>
      <c r="D52" s="17"/>
      <c r="E52" s="40"/>
      <c r="F52" s="40"/>
      <c r="G52" s="40"/>
      <c r="H52" s="19"/>
      <c r="I52" s="19"/>
      <c r="J52" s="19"/>
      <c r="K52" s="19"/>
      <c r="L52" s="19"/>
      <c r="M52" s="17"/>
      <c r="N52" s="17"/>
      <c r="P52" s="17"/>
      <c r="Q52" s="17"/>
      <c r="R52" s="17"/>
      <c r="S52" s="17"/>
      <c r="T52" s="17"/>
      <c r="U52" s="17"/>
      <c r="W52" s="17"/>
      <c r="X52" s="17"/>
      <c r="Y52" s="17"/>
      <c r="Z52" s="17"/>
    </row>
    <row r="53" spans="1:26" s="31" customFormat="1" ht="12.75" customHeight="1">
      <c r="A53" s="19"/>
      <c r="B53" s="19"/>
      <c r="C53" s="19"/>
      <c r="D53" s="19"/>
      <c r="E53" s="40"/>
      <c r="F53" s="40"/>
      <c r="G53" s="40"/>
      <c r="H53" s="19"/>
      <c r="I53" s="19"/>
      <c r="J53" s="19"/>
      <c r="K53" s="19"/>
      <c r="L53" s="19"/>
      <c r="M53" s="17"/>
      <c r="N53" s="17"/>
      <c r="P53" s="17"/>
      <c r="Q53" s="17"/>
      <c r="R53" s="17"/>
      <c r="S53" s="17"/>
      <c r="T53" s="17"/>
      <c r="U53" s="17"/>
      <c r="W53" s="17"/>
      <c r="X53" s="17"/>
      <c r="Y53" s="17"/>
      <c r="Z53" s="17"/>
    </row>
    <row r="54" spans="1:26" s="31" customFormat="1" ht="15" customHeight="1">
      <c r="A54" s="19"/>
      <c r="B54" s="19"/>
      <c r="C54" s="19"/>
      <c r="D54" s="19"/>
      <c r="E54" s="40"/>
      <c r="F54" s="40"/>
      <c r="G54" s="40"/>
      <c r="H54" s="19"/>
      <c r="I54" s="19"/>
      <c r="J54" s="19"/>
      <c r="K54" s="19"/>
      <c r="L54" s="19"/>
      <c r="M54" s="17"/>
      <c r="N54" s="17"/>
      <c r="P54" s="17"/>
      <c r="Q54" s="17"/>
      <c r="R54" s="17"/>
      <c r="S54" s="17"/>
      <c r="T54" s="17"/>
      <c r="U54" s="17"/>
      <c r="W54" s="17"/>
      <c r="X54" s="17"/>
      <c r="Y54" s="17"/>
      <c r="Z54" s="17"/>
    </row>
    <row r="55" spans="1:26" ht="7.5" customHeight="1">
      <c r="A55" s="19"/>
      <c r="B55" s="19"/>
      <c r="C55" s="19"/>
      <c r="D55" s="19"/>
      <c r="E55" s="40"/>
      <c r="F55" s="40"/>
      <c r="G55" s="40"/>
      <c r="H55" s="19"/>
      <c r="I55" s="19"/>
      <c r="J55" s="19"/>
      <c r="K55" s="19"/>
      <c r="L55" s="19"/>
      <c r="M55" s="19"/>
    </row>
    <row r="56" spans="1:26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</row>
    <row r="57" spans="1:26">
      <c r="A57" s="17" t="s">
        <v>19</v>
      </c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</row>
    <row r="58" spans="1:26"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</row>
    <row r="59" spans="1:26">
      <c r="C59" s="139" t="s">
        <v>20</v>
      </c>
      <c r="D59" s="41">
        <v>80</v>
      </c>
      <c r="F59" s="19"/>
      <c r="G59" s="19"/>
      <c r="H59" s="19"/>
      <c r="I59" s="19"/>
      <c r="J59" s="19"/>
      <c r="K59" s="19"/>
      <c r="L59" s="19"/>
      <c r="M59" s="19"/>
    </row>
    <row r="60" spans="1:26">
      <c r="C60" s="295" t="s">
        <v>21</v>
      </c>
      <c r="D60" s="4">
        <v>1.2</v>
      </c>
      <c r="E60" s="1" t="s">
        <v>174</v>
      </c>
      <c r="F60" s="19"/>
      <c r="G60" s="19"/>
      <c r="H60" s="19"/>
      <c r="I60" s="19"/>
      <c r="J60" s="19"/>
      <c r="K60" s="19"/>
      <c r="L60" s="19"/>
      <c r="M60" s="19"/>
    </row>
    <row r="61" spans="1:26">
      <c r="C61" s="296"/>
      <c r="D61" s="4">
        <v>1.1000000000000001</v>
      </c>
      <c r="E61" s="1" t="s">
        <v>22</v>
      </c>
      <c r="F61" s="19"/>
      <c r="G61" s="19"/>
      <c r="H61" s="19"/>
      <c r="I61" s="19"/>
      <c r="J61" s="19"/>
      <c r="K61" s="19"/>
      <c r="L61" s="19"/>
      <c r="M61" s="19"/>
    </row>
    <row r="62" spans="1:26">
      <c r="C62" s="297"/>
      <c r="D62" s="42">
        <v>1</v>
      </c>
      <c r="E62" s="1" t="s">
        <v>175</v>
      </c>
      <c r="M62" s="19"/>
    </row>
    <row r="63" spans="1:26">
      <c r="M63" s="19"/>
    </row>
    <row r="64" spans="1:26" s="31" customFormat="1" ht="30" customHeight="1">
      <c r="A64" s="168"/>
      <c r="B64" s="138" t="str">
        <f>B$40</f>
        <v>Pozo de</v>
      </c>
      <c r="C64" s="202" t="str">
        <f>C$40</f>
        <v>Pozo a</v>
      </c>
      <c r="D64" s="202" t="s">
        <v>130</v>
      </c>
      <c r="E64" s="202" t="s">
        <v>209</v>
      </c>
      <c r="F64" s="202" t="s">
        <v>204</v>
      </c>
      <c r="G64" s="204" t="s">
        <v>134</v>
      </c>
      <c r="H64" s="202" t="s">
        <v>205</v>
      </c>
      <c r="I64" s="202" t="s">
        <v>224</v>
      </c>
      <c r="J64" s="202" t="s">
        <v>225</v>
      </c>
      <c r="K64" s="202" t="s">
        <v>210</v>
      </c>
      <c r="L64" s="202" t="s">
        <v>211</v>
      </c>
      <c r="N64" s="200" t="s">
        <v>23</v>
      </c>
      <c r="W64" s="17"/>
      <c r="X64" s="17"/>
    </row>
    <row r="65" spans="1:26" s="74" customFormat="1" ht="12" customHeight="1">
      <c r="A65" s="169"/>
      <c r="B65" s="140" t="str">
        <f t="shared" ref="B65:F66" si="4">+B41</f>
        <v>CR-04</v>
      </c>
      <c r="C65" s="140" t="str">
        <f t="shared" si="4"/>
        <v>156416B</v>
      </c>
      <c r="D65" s="135">
        <f t="shared" si="4"/>
        <v>11.5</v>
      </c>
      <c r="E65" s="95">
        <f t="shared" si="4"/>
        <v>10</v>
      </c>
      <c r="F65" s="135">
        <f t="shared" si="4"/>
        <v>0.2732</v>
      </c>
      <c r="G65" s="135">
        <f>+H41</f>
        <v>2.12</v>
      </c>
      <c r="H65" s="135">
        <f>+I41</f>
        <v>1</v>
      </c>
      <c r="I65" s="135">
        <f t="shared" ref="I65:I66" si="5">0.5+1.75*G65</f>
        <v>4.21</v>
      </c>
      <c r="J65" s="135">
        <f t="shared" ref="J65:J66" si="6">0.25+1.75*G65</f>
        <v>3.96</v>
      </c>
      <c r="K65" s="135">
        <f t="shared" ref="K65:K66" si="7">I65+1.75*(3*F65/4)</f>
        <v>4.5685750000000001</v>
      </c>
      <c r="L65" s="96">
        <f t="shared" ref="L65:L66" si="8">$D$59*CHOOSE(N65,$D$60,$D$61,$D$62)/K65</f>
        <v>17.510930651242454</v>
      </c>
      <c r="M65" s="17"/>
      <c r="N65" s="75">
        <f t="shared" ref="N65:N66" si="9">IF(G65&lt;0.6,1,IF(G65&lt;0.91,2,3))</f>
        <v>3</v>
      </c>
    </row>
    <row r="66" spans="1:26" s="74" customFormat="1" ht="12" customHeight="1">
      <c r="A66" s="169"/>
      <c r="B66" s="140" t="str">
        <f t="shared" si="4"/>
        <v>CR-05</v>
      </c>
      <c r="C66" s="140">
        <f t="shared" si="4"/>
        <v>156416</v>
      </c>
      <c r="D66" s="135">
        <f t="shared" si="4"/>
        <v>10</v>
      </c>
      <c r="E66" s="95">
        <f t="shared" si="4"/>
        <v>10</v>
      </c>
      <c r="F66" s="135">
        <f t="shared" si="4"/>
        <v>0.2732</v>
      </c>
      <c r="G66" s="135">
        <f>+H42</f>
        <v>1.88</v>
      </c>
      <c r="H66" s="135">
        <f>+I42</f>
        <v>1</v>
      </c>
      <c r="I66" s="135">
        <f t="shared" si="5"/>
        <v>3.79</v>
      </c>
      <c r="J66" s="135">
        <f t="shared" si="6"/>
        <v>3.54</v>
      </c>
      <c r="K66" s="135">
        <f t="shared" si="7"/>
        <v>4.1485750000000001</v>
      </c>
      <c r="L66" s="96">
        <f t="shared" si="8"/>
        <v>19.283729955466637</v>
      </c>
      <c r="M66" s="17"/>
      <c r="N66" s="75">
        <f t="shared" si="9"/>
        <v>3</v>
      </c>
    </row>
    <row r="67" spans="1:26" s="74" customFormat="1" ht="11.25">
      <c r="E67" s="77"/>
      <c r="F67" s="78"/>
      <c r="G67" s="79"/>
      <c r="H67" s="79"/>
      <c r="I67" s="80"/>
      <c r="J67" s="80"/>
      <c r="K67" s="80"/>
    </row>
    <row r="68" spans="1:26">
      <c r="A68" s="19" t="s">
        <v>24</v>
      </c>
      <c r="D68" s="37"/>
      <c r="E68" s="30"/>
      <c r="F68" s="43"/>
      <c r="G68" s="43"/>
      <c r="H68" s="36"/>
      <c r="I68" s="36"/>
      <c r="J68" s="36"/>
    </row>
    <row r="69" spans="1:26">
      <c r="D69" s="37"/>
      <c r="E69" s="30"/>
      <c r="F69" s="43"/>
      <c r="G69" s="43"/>
      <c r="H69" s="36"/>
      <c r="I69" s="36"/>
      <c r="J69" s="36"/>
    </row>
    <row r="70" spans="1:26">
      <c r="A70" s="298" t="s">
        <v>116</v>
      </c>
      <c r="B70" s="298"/>
      <c r="C70" s="298"/>
      <c r="D70" s="298"/>
      <c r="E70" s="298"/>
      <c r="F70" s="298"/>
      <c r="G70" s="298"/>
      <c r="H70" s="298"/>
      <c r="I70" s="298"/>
      <c r="J70" s="298"/>
      <c r="K70" s="298"/>
      <c r="L70" s="298"/>
      <c r="M70" s="298"/>
    </row>
    <row r="71" spans="1:26">
      <c r="A71" s="298"/>
      <c r="B71" s="298"/>
      <c r="C71" s="298"/>
      <c r="D71" s="298"/>
      <c r="E71" s="298"/>
      <c r="F71" s="298"/>
      <c r="G71" s="298"/>
      <c r="H71" s="298"/>
      <c r="I71" s="298"/>
      <c r="J71" s="298"/>
      <c r="K71" s="298"/>
      <c r="L71" s="298"/>
      <c r="M71" s="298"/>
    </row>
    <row r="72" spans="1:26">
      <c r="D72" s="37"/>
      <c r="E72" s="30"/>
      <c r="F72" s="43"/>
      <c r="G72" s="43"/>
      <c r="H72" s="36"/>
      <c r="I72" s="36"/>
      <c r="J72" s="36"/>
    </row>
    <row r="73" spans="1:26">
      <c r="D73" s="37"/>
      <c r="E73" s="30"/>
      <c r="F73" s="43"/>
      <c r="G73" s="43"/>
      <c r="H73" s="36"/>
      <c r="I73" s="36"/>
      <c r="J73" s="36"/>
      <c r="P73" s="19"/>
      <c r="Q73" s="19"/>
      <c r="R73" s="19"/>
      <c r="S73" s="19"/>
      <c r="T73" s="19"/>
      <c r="U73" s="19"/>
      <c r="V73" s="19"/>
      <c r="Y73" s="19"/>
      <c r="Z73" s="19"/>
    </row>
    <row r="74" spans="1:26">
      <c r="D74" s="37"/>
      <c r="E74" s="30"/>
      <c r="F74" s="43"/>
      <c r="G74" s="43"/>
      <c r="H74" s="36"/>
      <c r="I74" s="36"/>
      <c r="J74" s="36"/>
      <c r="P74" s="19"/>
      <c r="Q74" s="19"/>
      <c r="R74" s="19"/>
      <c r="S74" s="19"/>
      <c r="T74" s="19"/>
      <c r="U74" s="19"/>
      <c r="V74" s="19"/>
      <c r="Y74" s="19"/>
      <c r="Z74" s="19"/>
    </row>
    <row r="75" spans="1:26">
      <c r="D75" s="37"/>
      <c r="E75" s="30"/>
      <c r="F75" s="43"/>
      <c r="G75" s="43"/>
      <c r="H75" s="36"/>
      <c r="I75" s="36"/>
      <c r="J75" s="36"/>
      <c r="P75" s="19"/>
      <c r="Q75" s="19"/>
      <c r="R75" s="19"/>
      <c r="S75" s="19"/>
      <c r="T75" s="19"/>
      <c r="U75" s="19"/>
      <c r="V75" s="19"/>
      <c r="Y75" s="19"/>
      <c r="Z75" s="19"/>
    </row>
    <row r="76" spans="1:26">
      <c r="D76" s="37"/>
      <c r="E76" s="30"/>
      <c r="F76" s="43"/>
      <c r="G76" s="43"/>
      <c r="H76" s="36"/>
      <c r="I76" s="36"/>
      <c r="J76" s="36"/>
      <c r="P76" s="19"/>
      <c r="Q76" s="19"/>
      <c r="R76" s="19"/>
      <c r="S76" s="19"/>
      <c r="T76" s="19"/>
      <c r="U76" s="19"/>
      <c r="V76" s="19"/>
      <c r="Y76" s="19"/>
      <c r="Z76" s="19"/>
    </row>
    <row r="77" spans="1:26">
      <c r="A77" s="17" t="s">
        <v>2</v>
      </c>
      <c r="D77" s="37"/>
      <c r="E77" s="30"/>
      <c r="F77" s="43"/>
      <c r="G77" s="43"/>
      <c r="H77" s="36"/>
      <c r="I77" s="36"/>
      <c r="J77" s="36"/>
      <c r="P77" s="19"/>
      <c r="Q77" s="19"/>
      <c r="R77" s="19"/>
      <c r="S77" s="19"/>
      <c r="T77" s="19"/>
      <c r="U77" s="19"/>
      <c r="V77" s="19"/>
      <c r="Y77" s="19"/>
      <c r="Z77" s="19"/>
    </row>
    <row r="78" spans="1:26">
      <c r="C78" s="44" t="s">
        <v>100</v>
      </c>
      <c r="D78" s="45" t="s">
        <v>25</v>
      </c>
      <c r="E78" s="30"/>
      <c r="F78" s="43"/>
      <c r="G78" s="43"/>
      <c r="H78" s="36"/>
      <c r="I78" s="36"/>
      <c r="J78" s="36"/>
      <c r="O78" s="72"/>
      <c r="P78" s="154"/>
      <c r="Q78" s="154"/>
      <c r="R78" s="154"/>
      <c r="S78" s="19"/>
      <c r="T78" s="19"/>
      <c r="U78" s="19"/>
      <c r="V78" s="19"/>
      <c r="Y78" s="19"/>
      <c r="Z78" s="19"/>
    </row>
    <row r="79" spans="1:26">
      <c r="C79" s="44" t="s">
        <v>101</v>
      </c>
      <c r="D79" s="45" t="s">
        <v>27</v>
      </c>
      <c r="E79" s="30"/>
      <c r="F79" s="43"/>
      <c r="G79" s="43"/>
      <c r="H79" s="36"/>
      <c r="I79" s="36"/>
      <c r="J79" s="36"/>
      <c r="O79" s="199"/>
      <c r="P79" s="155"/>
      <c r="Q79" s="154"/>
      <c r="R79" s="154"/>
      <c r="S79" s="19"/>
      <c r="T79" s="19"/>
      <c r="U79" s="19"/>
      <c r="V79" s="19"/>
      <c r="W79" s="19"/>
      <c r="X79" s="19"/>
      <c r="Y79" s="19"/>
      <c r="Z79" s="19"/>
    </row>
    <row r="80" spans="1:26">
      <c r="C80" s="17" t="s">
        <v>26</v>
      </c>
      <c r="D80" s="45" t="s">
        <v>76</v>
      </c>
      <c r="E80" s="30"/>
      <c r="F80" s="43"/>
      <c r="G80" s="43"/>
      <c r="H80" s="36"/>
      <c r="I80" s="36"/>
      <c r="J80" s="36"/>
      <c r="O80" s="72"/>
      <c r="P80" s="155"/>
      <c r="Q80" s="154"/>
      <c r="R80" s="154"/>
      <c r="S80" s="19"/>
      <c r="T80" s="19"/>
      <c r="U80" s="19"/>
      <c r="V80" s="19"/>
      <c r="W80" s="19"/>
      <c r="X80" s="19"/>
      <c r="Y80" s="19"/>
      <c r="Z80" s="19"/>
    </row>
    <row r="81" spans="1:240" ht="13.5">
      <c r="C81" s="46" t="s">
        <v>102</v>
      </c>
      <c r="D81" s="45" t="s">
        <v>28</v>
      </c>
      <c r="E81" s="30"/>
      <c r="F81" s="43"/>
      <c r="G81" s="43"/>
      <c r="H81" s="36"/>
      <c r="I81" s="36"/>
      <c r="J81" s="36"/>
      <c r="O81" s="72"/>
      <c r="P81" s="155"/>
      <c r="Q81" s="154"/>
      <c r="R81" s="154"/>
    </row>
    <row r="82" spans="1:240">
      <c r="C82" s="17" t="s">
        <v>29</v>
      </c>
      <c r="D82" s="45" t="s">
        <v>30</v>
      </c>
      <c r="E82" s="30"/>
      <c r="F82" s="43"/>
      <c r="G82" s="43"/>
      <c r="H82" s="36"/>
      <c r="I82" s="36"/>
      <c r="J82" s="36"/>
      <c r="O82" s="72"/>
      <c r="P82" s="72"/>
      <c r="Q82" s="72"/>
      <c r="R82" s="72"/>
    </row>
    <row r="83" spans="1:240">
      <c r="C83" s="17" t="s">
        <v>31</v>
      </c>
      <c r="D83" s="45" t="s">
        <v>32</v>
      </c>
      <c r="E83" s="30"/>
      <c r="F83" s="43"/>
      <c r="G83" s="43"/>
      <c r="H83" s="36"/>
      <c r="I83" s="36"/>
      <c r="J83" s="36"/>
      <c r="O83" s="72"/>
      <c r="P83" s="72"/>
      <c r="Q83" s="72"/>
      <c r="R83" s="72"/>
      <c r="S83" s="301" t="s">
        <v>50</v>
      </c>
      <c r="T83" s="301" t="s">
        <v>51</v>
      </c>
      <c r="U83" s="301"/>
      <c r="V83" s="301"/>
      <c r="W83" s="301"/>
      <c r="X83" s="301"/>
      <c r="Y83" s="301"/>
      <c r="Z83" s="301"/>
      <c r="AA83" s="301"/>
    </row>
    <row r="84" spans="1:240">
      <c r="D84" s="45" t="s">
        <v>33</v>
      </c>
      <c r="E84" s="30"/>
      <c r="F84" s="43"/>
      <c r="G84" s="43"/>
      <c r="H84" s="36"/>
      <c r="I84" s="36"/>
      <c r="J84" s="36"/>
      <c r="O84" s="19"/>
      <c r="S84" s="301"/>
      <c r="T84" s="116">
        <v>1.25</v>
      </c>
      <c r="U84" s="116">
        <v>1.5</v>
      </c>
      <c r="V84" s="116">
        <v>1.75</v>
      </c>
      <c r="W84" s="116">
        <v>2</v>
      </c>
      <c r="X84" s="116">
        <v>2.5</v>
      </c>
      <c r="Y84" s="116">
        <v>3</v>
      </c>
      <c r="Z84" s="116">
        <v>4</v>
      </c>
      <c r="AA84" s="116">
        <v>5</v>
      </c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  <c r="HN84" s="19"/>
      <c r="HO84" s="19"/>
      <c r="HP84" s="19"/>
      <c r="HQ84" s="19"/>
      <c r="HR84" s="19"/>
      <c r="HS84" s="19"/>
      <c r="HT84" s="19"/>
      <c r="HU84" s="19"/>
      <c r="HV84" s="19"/>
      <c r="HW84" s="19"/>
      <c r="HX84" s="19"/>
      <c r="HY84" s="19"/>
      <c r="HZ84" s="19"/>
      <c r="IA84" s="19"/>
      <c r="IB84" s="19"/>
      <c r="IC84" s="19"/>
      <c r="ID84" s="19"/>
      <c r="IE84" s="19"/>
      <c r="IF84" s="19"/>
    </row>
    <row r="85" spans="1:240">
      <c r="C85" s="17" t="s">
        <v>34</v>
      </c>
      <c r="D85" s="45" t="s">
        <v>35</v>
      </c>
      <c r="E85" s="30"/>
      <c r="F85" s="43"/>
      <c r="G85" s="43"/>
      <c r="H85" s="36"/>
      <c r="I85" s="36"/>
      <c r="J85" s="36"/>
      <c r="O85" s="19"/>
      <c r="S85" s="196">
        <v>5.0000000000000001E-3</v>
      </c>
      <c r="T85" s="21">
        <v>0.02</v>
      </c>
      <c r="U85" s="21">
        <v>0.05</v>
      </c>
      <c r="V85" s="21">
        <v>0.08</v>
      </c>
      <c r="W85" s="21">
        <v>0.12</v>
      </c>
      <c r="X85" s="21">
        <v>0.23</v>
      </c>
      <c r="Y85" s="21">
        <v>0.43</v>
      </c>
      <c r="Z85" s="21">
        <v>0.72</v>
      </c>
      <c r="AA85" s="21">
        <v>1</v>
      </c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  <c r="HN85" s="19"/>
      <c r="HO85" s="19"/>
      <c r="HP85" s="19"/>
      <c r="HQ85" s="19"/>
      <c r="HR85" s="19"/>
      <c r="HS85" s="19"/>
      <c r="HT85" s="19"/>
      <c r="HU85" s="19"/>
      <c r="HV85" s="19"/>
      <c r="HW85" s="19"/>
      <c r="HX85" s="19"/>
      <c r="HY85" s="19"/>
      <c r="HZ85" s="19"/>
      <c r="IA85" s="19"/>
      <c r="IB85" s="19"/>
      <c r="IC85" s="19"/>
      <c r="ID85" s="19"/>
      <c r="IE85" s="19"/>
      <c r="IF85" s="19"/>
    </row>
    <row r="86" spans="1:240">
      <c r="C86" s="17" t="s">
        <v>36</v>
      </c>
      <c r="D86" s="45" t="s">
        <v>37</v>
      </c>
      <c r="E86" s="30"/>
      <c r="F86" s="43"/>
      <c r="G86" s="43"/>
      <c r="H86" s="36"/>
      <c r="I86" s="36"/>
      <c r="J86" s="36"/>
      <c r="O86" s="19"/>
      <c r="S86" s="196">
        <v>0.01</v>
      </c>
      <c r="T86" s="21">
        <v>0.03</v>
      </c>
      <c r="U86" s="21">
        <v>7.0000000000000007E-2</v>
      </c>
      <c r="V86" s="21">
        <v>0.11</v>
      </c>
      <c r="W86" s="21">
        <v>0.15</v>
      </c>
      <c r="X86" s="21">
        <v>0.27</v>
      </c>
      <c r="Y86" s="21">
        <v>0.47</v>
      </c>
      <c r="Z86" s="21">
        <v>0.74</v>
      </c>
      <c r="AA86" s="21">
        <v>1</v>
      </c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  <c r="HM86" s="19"/>
      <c r="HN86" s="19"/>
      <c r="HO86" s="19"/>
      <c r="HP86" s="19"/>
      <c r="HQ86" s="19"/>
      <c r="HR86" s="19"/>
      <c r="HS86" s="19"/>
      <c r="HT86" s="19"/>
      <c r="HU86" s="19"/>
      <c r="HV86" s="19"/>
      <c r="HW86" s="19"/>
      <c r="HX86" s="19"/>
      <c r="HY86" s="19"/>
      <c r="HZ86" s="19"/>
      <c r="IA86" s="19"/>
      <c r="IB86" s="19"/>
      <c r="IC86" s="19"/>
      <c r="ID86" s="19"/>
      <c r="IE86" s="19"/>
      <c r="IF86" s="19"/>
    </row>
    <row r="87" spans="1:240" ht="13.5">
      <c r="C87" s="17" t="s">
        <v>38</v>
      </c>
      <c r="D87" s="45" t="s">
        <v>103</v>
      </c>
      <c r="E87" s="30"/>
      <c r="F87" s="43"/>
      <c r="G87" s="43"/>
      <c r="H87" s="36"/>
      <c r="I87" s="36"/>
      <c r="J87" s="36"/>
      <c r="O87" s="19"/>
      <c r="S87" s="196">
        <v>0.02</v>
      </c>
      <c r="T87" s="21">
        <v>0.05</v>
      </c>
      <c r="U87" s="21">
        <v>0.1</v>
      </c>
      <c r="V87" s="21">
        <v>0.15</v>
      </c>
      <c r="W87" s="21">
        <v>0.2</v>
      </c>
      <c r="X87" s="21">
        <v>0.32</v>
      </c>
      <c r="Y87" s="21">
        <v>0.52</v>
      </c>
      <c r="Z87" s="21">
        <v>0.77</v>
      </c>
      <c r="AA87" s="21">
        <v>1</v>
      </c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  <c r="HK87" s="19"/>
      <c r="HL87" s="19"/>
      <c r="HM87" s="19"/>
      <c r="HN87" s="19"/>
      <c r="HO87" s="19"/>
      <c r="HP87" s="19"/>
      <c r="HQ87" s="19"/>
      <c r="HR87" s="19"/>
      <c r="HS87" s="19"/>
      <c r="HT87" s="19"/>
      <c r="HU87" s="19"/>
      <c r="HV87" s="19"/>
      <c r="HW87" s="19"/>
      <c r="HX87" s="19"/>
      <c r="HY87" s="19"/>
      <c r="HZ87" s="19"/>
      <c r="IA87" s="19"/>
      <c r="IB87" s="19"/>
      <c r="IC87" s="19"/>
      <c r="ID87" s="19"/>
      <c r="IE87" s="19"/>
    </row>
    <row r="88" spans="1:240">
      <c r="C88" s="17" t="s">
        <v>39</v>
      </c>
      <c r="D88" s="45" t="s">
        <v>40</v>
      </c>
      <c r="E88" s="30"/>
      <c r="F88" s="43"/>
      <c r="G88" s="43"/>
      <c r="H88" s="36"/>
      <c r="I88" s="36"/>
      <c r="J88" s="36"/>
      <c r="O88" s="19"/>
      <c r="S88" s="196">
        <v>0.05</v>
      </c>
      <c r="T88" s="21">
        <v>0.1</v>
      </c>
      <c r="U88" s="21">
        <v>0.15</v>
      </c>
      <c r="V88" s="21">
        <v>0.2</v>
      </c>
      <c r="W88" s="21">
        <v>0.27</v>
      </c>
      <c r="X88" s="21">
        <v>0.38</v>
      </c>
      <c r="Y88" s="21">
        <v>0.57999999999999996</v>
      </c>
      <c r="Z88" s="21">
        <v>0.8</v>
      </c>
      <c r="AA88" s="21">
        <v>1</v>
      </c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  <c r="HO88" s="19"/>
      <c r="HP88" s="19"/>
      <c r="HQ88" s="19"/>
      <c r="HR88" s="19"/>
      <c r="HS88" s="19"/>
      <c r="HT88" s="19"/>
      <c r="HU88" s="19"/>
      <c r="HV88" s="19"/>
      <c r="HW88" s="19"/>
      <c r="HX88" s="19"/>
      <c r="HY88" s="19"/>
      <c r="HZ88" s="19"/>
      <c r="IA88" s="19"/>
      <c r="IB88" s="19"/>
      <c r="IC88" s="19"/>
      <c r="ID88" s="19"/>
      <c r="IE88" s="19"/>
      <c r="IF88" s="19"/>
    </row>
    <row r="89" spans="1:240">
      <c r="D89" s="45" t="s">
        <v>199</v>
      </c>
      <c r="E89" s="30"/>
      <c r="F89" s="43"/>
      <c r="G89" s="43"/>
      <c r="H89" s="36"/>
      <c r="I89" s="36"/>
      <c r="J89" s="36"/>
      <c r="O89" s="19"/>
      <c r="S89" s="115">
        <v>0.1</v>
      </c>
      <c r="T89" s="21">
        <v>0.15</v>
      </c>
      <c r="U89" s="21">
        <v>0.2</v>
      </c>
      <c r="V89" s="21">
        <v>0.27</v>
      </c>
      <c r="W89" s="21">
        <v>0.35</v>
      </c>
      <c r="X89" s="21">
        <v>0.46</v>
      </c>
      <c r="Y89" s="21">
        <v>0.65</v>
      </c>
      <c r="Z89" s="21">
        <v>0.84</v>
      </c>
      <c r="AA89" s="21">
        <v>1</v>
      </c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</row>
    <row r="90" spans="1:240">
      <c r="D90" s="45" t="s">
        <v>200</v>
      </c>
      <c r="E90" s="30"/>
      <c r="F90" s="43"/>
      <c r="G90" s="43"/>
      <c r="H90" s="36"/>
      <c r="I90" s="36"/>
      <c r="J90" s="36"/>
      <c r="O90" s="19"/>
      <c r="S90" s="115">
        <v>0.2</v>
      </c>
      <c r="T90" s="21">
        <v>0.25</v>
      </c>
      <c r="U90" s="21">
        <v>0.3</v>
      </c>
      <c r="V90" s="21">
        <v>0.38</v>
      </c>
      <c r="W90" s="21">
        <v>0.47</v>
      </c>
      <c r="X90" s="21">
        <v>0.57999999999999996</v>
      </c>
      <c r="Y90" s="21">
        <v>0.75</v>
      </c>
      <c r="Z90" s="21">
        <v>0.88</v>
      </c>
      <c r="AA90" s="21">
        <v>1</v>
      </c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</row>
    <row r="91" spans="1:240">
      <c r="D91" s="45" t="s">
        <v>201</v>
      </c>
      <c r="E91" s="30"/>
      <c r="F91" s="43"/>
      <c r="G91" s="43"/>
      <c r="H91" s="36"/>
      <c r="I91" s="36"/>
      <c r="J91" s="36"/>
      <c r="O91" s="19"/>
      <c r="S91" s="115">
        <v>0.4</v>
      </c>
      <c r="T91" s="21">
        <v>0.45</v>
      </c>
      <c r="U91" s="21">
        <v>0.5</v>
      </c>
      <c r="V91" s="21">
        <v>0.56000000000000005</v>
      </c>
      <c r="W91" s="21">
        <v>0.64</v>
      </c>
      <c r="X91" s="21">
        <v>0.75</v>
      </c>
      <c r="Y91" s="21">
        <v>0.85</v>
      </c>
      <c r="Z91" s="21">
        <v>0.93</v>
      </c>
      <c r="AA91" s="21">
        <v>1</v>
      </c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  <c r="HY91" s="19"/>
      <c r="HZ91" s="19"/>
      <c r="IA91" s="19"/>
      <c r="IB91" s="19"/>
      <c r="IC91" s="19"/>
      <c r="ID91" s="19"/>
      <c r="IE91" s="19"/>
      <c r="IF91" s="19"/>
    </row>
    <row r="92" spans="1:240">
      <c r="D92" s="45"/>
      <c r="E92" s="30"/>
      <c r="F92" s="43"/>
      <c r="G92" s="43"/>
      <c r="H92" s="36"/>
      <c r="I92" s="36"/>
      <c r="J92" s="36"/>
      <c r="O92" s="19"/>
      <c r="S92" s="115">
        <v>0.6</v>
      </c>
      <c r="T92" s="21">
        <v>0.65</v>
      </c>
      <c r="U92" s="21">
        <v>0.7</v>
      </c>
      <c r="V92" s="21">
        <v>0.75</v>
      </c>
      <c r="W92" s="21">
        <v>0.81</v>
      </c>
      <c r="X92" s="21">
        <v>0.87</v>
      </c>
      <c r="Y92" s="21">
        <v>0.94</v>
      </c>
      <c r="Z92" s="21">
        <v>0.98</v>
      </c>
      <c r="AA92" s="21">
        <v>1</v>
      </c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  <c r="HM92" s="19"/>
      <c r="HN92" s="19"/>
      <c r="HO92" s="19"/>
      <c r="HP92" s="19"/>
      <c r="HQ92" s="19"/>
      <c r="HR92" s="19"/>
      <c r="HS92" s="19"/>
      <c r="HT92" s="19"/>
      <c r="HU92" s="19"/>
      <c r="HV92" s="19"/>
      <c r="HW92" s="19"/>
      <c r="HX92" s="19"/>
      <c r="HY92" s="19"/>
      <c r="HZ92" s="19"/>
      <c r="IA92" s="19"/>
      <c r="IB92" s="19"/>
      <c r="IC92" s="19"/>
      <c r="ID92" s="19"/>
      <c r="IE92" s="19"/>
      <c r="IF92" s="19"/>
    </row>
    <row r="93" spans="1:240">
      <c r="D93" s="37"/>
      <c r="E93" s="30"/>
      <c r="F93" s="43"/>
      <c r="G93" s="43"/>
      <c r="H93" s="36"/>
      <c r="I93" s="36"/>
      <c r="J93" s="36"/>
      <c r="O93" s="196" t="s">
        <v>198</v>
      </c>
      <c r="P93" s="196" t="s">
        <v>46</v>
      </c>
      <c r="Q93" s="196" t="s">
        <v>197</v>
      </c>
      <c r="S93" s="115">
        <v>0.8</v>
      </c>
      <c r="T93" s="21">
        <v>0.84</v>
      </c>
      <c r="U93" s="21">
        <v>0.87</v>
      </c>
      <c r="V93" s="21">
        <v>0.9</v>
      </c>
      <c r="W93" s="21">
        <v>0.93</v>
      </c>
      <c r="X93" s="21">
        <v>0.96</v>
      </c>
      <c r="Y93" s="21">
        <v>0.98</v>
      </c>
      <c r="Z93" s="21">
        <v>1</v>
      </c>
      <c r="AA93" s="21">
        <v>1</v>
      </c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</row>
    <row r="94" spans="1:240">
      <c r="A94" s="17" t="s">
        <v>41</v>
      </c>
      <c r="I94" s="36"/>
      <c r="J94" s="36"/>
      <c r="O94" s="198">
        <v>1</v>
      </c>
      <c r="P94" s="198">
        <v>0.105</v>
      </c>
      <c r="Q94" s="198">
        <v>14000</v>
      </c>
      <c r="S94" s="115">
        <v>1</v>
      </c>
      <c r="T94" s="21">
        <v>1</v>
      </c>
      <c r="U94" s="21">
        <v>1</v>
      </c>
      <c r="V94" s="21">
        <v>1</v>
      </c>
      <c r="W94" s="21">
        <v>1</v>
      </c>
      <c r="X94" s="21">
        <v>1</v>
      </c>
      <c r="Y94" s="21">
        <v>1</v>
      </c>
      <c r="Z94" s="21">
        <v>1</v>
      </c>
      <c r="AA94" s="21">
        <v>1</v>
      </c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  <c r="HO94" s="19"/>
      <c r="HP94" s="19"/>
      <c r="HQ94" s="19"/>
      <c r="HR94" s="19"/>
      <c r="HS94" s="19"/>
      <c r="HT94" s="19"/>
      <c r="HU94" s="19"/>
      <c r="HV94" s="19"/>
      <c r="HW94" s="19"/>
      <c r="HX94" s="19"/>
      <c r="HY94" s="19"/>
      <c r="HZ94" s="19"/>
      <c r="IA94" s="19"/>
      <c r="IB94" s="19"/>
      <c r="IC94" s="19"/>
      <c r="ID94" s="19"/>
      <c r="IE94" s="19"/>
      <c r="IF94" s="19"/>
    </row>
    <row r="95" spans="1:240">
      <c r="C95" s="47"/>
      <c r="I95" s="36"/>
      <c r="J95" s="36"/>
      <c r="O95" s="117">
        <v>2</v>
      </c>
      <c r="P95" s="117">
        <v>0.1</v>
      </c>
      <c r="Q95" s="117">
        <v>11000</v>
      </c>
      <c r="S95" s="115">
        <v>1.5</v>
      </c>
      <c r="T95" s="21">
        <v>1.4</v>
      </c>
      <c r="U95" s="21">
        <v>1.3</v>
      </c>
      <c r="V95" s="21">
        <v>1.2</v>
      </c>
      <c r="W95" s="21">
        <v>1.1200000000000001</v>
      </c>
      <c r="X95" s="21">
        <v>1.06</v>
      </c>
      <c r="Y95" s="21">
        <v>1.03</v>
      </c>
      <c r="Z95" s="21">
        <v>1</v>
      </c>
      <c r="AA95" s="21">
        <v>1</v>
      </c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  <c r="HK95" s="19"/>
      <c r="HL95" s="19"/>
      <c r="HM95" s="19"/>
      <c r="HN95" s="19"/>
      <c r="HO95" s="19"/>
      <c r="HP95" s="19"/>
      <c r="HQ95" s="19"/>
      <c r="HR95" s="19"/>
      <c r="HS95" s="19"/>
      <c r="HT95" s="19"/>
      <c r="HU95" s="19"/>
      <c r="HV95" s="19"/>
      <c r="HW95" s="19"/>
      <c r="HX95" s="19"/>
      <c r="HY95" s="19"/>
      <c r="HZ95" s="19"/>
      <c r="IA95" s="19"/>
      <c r="IB95" s="19"/>
      <c r="IC95" s="19"/>
      <c r="ID95" s="19"/>
      <c r="IE95" s="19"/>
      <c r="IF95" s="19"/>
    </row>
    <row r="96" spans="1:240" ht="13.5">
      <c r="B96" s="48" t="s">
        <v>102</v>
      </c>
      <c r="C96" s="49"/>
      <c r="D96" s="41">
        <v>1.5</v>
      </c>
      <c r="E96" s="72"/>
      <c r="F96" s="72"/>
      <c r="G96" s="72"/>
      <c r="H96" s="72"/>
      <c r="I96" s="36"/>
      <c r="J96" s="36"/>
      <c r="K96" s="72"/>
      <c r="L96" s="72"/>
      <c r="O96" s="198">
        <v>3</v>
      </c>
      <c r="P96" s="198">
        <v>9.6000000000000002E-2</v>
      </c>
      <c r="Q96" s="198">
        <v>4000</v>
      </c>
      <c r="S96" s="115">
        <v>2</v>
      </c>
      <c r="T96" s="21">
        <v>1.7</v>
      </c>
      <c r="U96" s="21">
        <v>1.5</v>
      </c>
      <c r="V96" s="21">
        <v>1.4</v>
      </c>
      <c r="W96" s="21">
        <v>1.3</v>
      </c>
      <c r="X96" s="21">
        <v>1.2</v>
      </c>
      <c r="Y96" s="21">
        <v>1.1000000000000001</v>
      </c>
      <c r="Z96" s="21">
        <v>1.05</v>
      </c>
      <c r="AA96" s="21">
        <v>1</v>
      </c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  <c r="HK96" s="19"/>
      <c r="HL96" s="19"/>
      <c r="HM96" s="19"/>
      <c r="HN96" s="19"/>
      <c r="HO96" s="19"/>
      <c r="HP96" s="19"/>
      <c r="HQ96" s="19"/>
      <c r="HR96" s="19"/>
      <c r="HS96" s="19"/>
      <c r="HT96" s="19"/>
      <c r="HU96" s="19"/>
      <c r="HV96" s="19"/>
      <c r="HW96" s="19"/>
      <c r="HX96" s="19"/>
      <c r="HY96" s="19"/>
      <c r="HZ96" s="19"/>
      <c r="IA96" s="19"/>
      <c r="IB96" s="19"/>
      <c r="IC96" s="19"/>
      <c r="ID96" s="19"/>
      <c r="IE96" s="19"/>
      <c r="IF96" s="19"/>
    </row>
    <row r="97" spans="1:240" ht="13.5">
      <c r="B97" s="50" t="s">
        <v>104</v>
      </c>
      <c r="C97" s="51"/>
      <c r="D97" s="53">
        <f>0.149*57</f>
        <v>8.4930000000000003</v>
      </c>
      <c r="E97" s="123" t="s">
        <v>42</v>
      </c>
      <c r="F97" s="72"/>
      <c r="G97" s="72"/>
      <c r="H97" s="72"/>
      <c r="I97" s="36"/>
      <c r="J97" s="36"/>
      <c r="K97" s="72"/>
      <c r="L97" s="72"/>
      <c r="O97" s="198">
        <v>4</v>
      </c>
      <c r="P97" s="198">
        <v>0.1</v>
      </c>
      <c r="Q97" s="198">
        <v>16000</v>
      </c>
      <c r="S97" s="115">
        <v>3</v>
      </c>
      <c r="T97" s="21">
        <v>2.2000000000000002</v>
      </c>
      <c r="U97" s="21">
        <v>1.8</v>
      </c>
      <c r="V97" s="21">
        <v>1.65</v>
      </c>
      <c r="W97" s="21">
        <v>1.5</v>
      </c>
      <c r="X97" s="21">
        <v>1.35</v>
      </c>
      <c r="Y97" s="21">
        <v>1.2</v>
      </c>
      <c r="Z97" s="21">
        <v>1.1000000000000001</v>
      </c>
      <c r="AA97" s="21">
        <v>1</v>
      </c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  <c r="HM97" s="19"/>
      <c r="HN97" s="19"/>
      <c r="HO97" s="19"/>
      <c r="HP97" s="19"/>
      <c r="HQ97" s="19"/>
      <c r="HR97" s="19"/>
      <c r="HS97" s="19"/>
      <c r="HT97" s="19"/>
      <c r="HU97" s="19"/>
      <c r="HV97" s="19"/>
      <c r="HW97" s="19"/>
      <c r="HX97" s="19"/>
      <c r="HY97" s="19"/>
      <c r="HZ97" s="19"/>
      <c r="IA97" s="19"/>
      <c r="IB97" s="19"/>
      <c r="IC97" s="19"/>
      <c r="ID97" s="19"/>
      <c r="IE97" s="19"/>
      <c r="IF97" s="19"/>
    </row>
    <row r="98" spans="1:240" ht="13.5">
      <c r="B98" s="50" t="s">
        <v>105</v>
      </c>
      <c r="C98" s="51"/>
      <c r="D98" s="54">
        <f>D97/14.21*100</f>
        <v>59.767769176636165</v>
      </c>
      <c r="E98" s="123" t="s">
        <v>43</v>
      </c>
      <c r="F98" s="123"/>
      <c r="G98" s="123"/>
      <c r="H98" s="123"/>
      <c r="I98" s="60"/>
      <c r="J98" s="60"/>
      <c r="K98" s="123"/>
      <c r="L98" s="72"/>
      <c r="S98" s="115">
        <v>5</v>
      </c>
      <c r="T98" s="21">
        <v>3</v>
      </c>
      <c r="U98" s="21">
        <v>2.2000000000000002</v>
      </c>
      <c r="V98" s="21">
        <v>1.9</v>
      </c>
      <c r="W98" s="21">
        <v>1.7</v>
      </c>
      <c r="X98" s="21">
        <v>1.5</v>
      </c>
      <c r="Y98" s="21">
        <v>1.3</v>
      </c>
      <c r="Z98" s="21">
        <v>1.1499999999999999</v>
      </c>
      <c r="AA98" s="21">
        <v>1</v>
      </c>
    </row>
    <row r="99" spans="1:240" ht="13.5">
      <c r="B99" s="50" t="s">
        <v>104</v>
      </c>
      <c r="C99" s="51"/>
      <c r="D99" s="53">
        <f>0.149*28</f>
        <v>4.1719999999999997</v>
      </c>
      <c r="E99" s="123" t="s">
        <v>132</v>
      </c>
      <c r="F99" s="123"/>
      <c r="G99" s="123"/>
      <c r="H99" s="123"/>
      <c r="I99" s="60"/>
      <c r="J99" s="60"/>
      <c r="K99" s="123"/>
      <c r="L99" s="72"/>
    </row>
    <row r="100" spans="1:240" ht="13.5">
      <c r="B100" s="50" t="s">
        <v>105</v>
      </c>
      <c r="C100" s="51"/>
      <c r="D100" s="54">
        <f>D99/14.21*100</f>
        <v>29.359605911330043</v>
      </c>
      <c r="E100" s="123" t="s">
        <v>44</v>
      </c>
      <c r="F100" s="123"/>
      <c r="G100" s="123"/>
      <c r="H100" s="123"/>
      <c r="I100" s="60"/>
      <c r="J100" s="60"/>
      <c r="K100" s="123"/>
      <c r="L100" s="72"/>
    </row>
    <row r="101" spans="1:240" ht="13.5">
      <c r="B101" s="50" t="s">
        <v>213</v>
      </c>
      <c r="C101" s="49"/>
      <c r="D101" s="55">
        <v>57200</v>
      </c>
      <c r="E101" s="123" t="s">
        <v>331</v>
      </c>
      <c r="F101" s="123"/>
      <c r="G101" s="123"/>
      <c r="H101" s="123"/>
      <c r="I101" s="60"/>
      <c r="J101" s="60"/>
      <c r="K101" s="123"/>
      <c r="L101" s="72"/>
    </row>
    <row r="102" spans="1:240" s="56" customFormat="1">
      <c r="D102" s="57"/>
      <c r="E102" s="58"/>
      <c r="F102" s="59"/>
      <c r="G102" s="59"/>
      <c r="H102" s="60"/>
      <c r="I102" s="60"/>
      <c r="J102" s="60"/>
      <c r="S102" s="17"/>
      <c r="W102" s="17"/>
      <c r="X102" s="17"/>
    </row>
    <row r="103" spans="1:240" s="31" customFormat="1" ht="25.5">
      <c r="B103" s="202" t="str">
        <f>B$40</f>
        <v>Pozo de</v>
      </c>
      <c r="C103" s="202" t="str">
        <f>C$40</f>
        <v>Pozo a</v>
      </c>
      <c r="D103" s="202" t="s">
        <v>130</v>
      </c>
      <c r="E103" s="202" t="s">
        <v>208</v>
      </c>
      <c r="F103" s="202" t="str">
        <f>I40</f>
        <v>Ancho zanja
Bd (m)</v>
      </c>
      <c r="G103" s="142" t="s">
        <v>212</v>
      </c>
      <c r="H103" s="143" t="s">
        <v>46</v>
      </c>
      <c r="I103" s="202" t="s">
        <v>226</v>
      </c>
      <c r="J103" s="204" t="s">
        <v>47</v>
      </c>
      <c r="K103" s="202" t="s">
        <v>227</v>
      </c>
      <c r="L103" s="144" t="s">
        <v>228</v>
      </c>
      <c r="N103" s="17" t="s">
        <v>50</v>
      </c>
      <c r="O103" s="17" t="s">
        <v>51</v>
      </c>
      <c r="P103" s="61"/>
      <c r="Q103" s="61"/>
      <c r="R103" s="61"/>
      <c r="S103" s="61"/>
      <c r="T103" s="61"/>
      <c r="U103" s="61"/>
      <c r="V103" s="17"/>
      <c r="W103" s="17"/>
      <c r="X103" s="61"/>
      <c r="Y103" s="61"/>
    </row>
    <row r="104" spans="1:240" s="74" customFormat="1">
      <c r="B104" s="140" t="str">
        <f t="shared" ref="B104:D105" si="10">+B65</f>
        <v>CR-04</v>
      </c>
      <c r="C104" s="140" t="str">
        <f t="shared" si="10"/>
        <v>156416B</v>
      </c>
      <c r="D104" s="135">
        <f t="shared" si="10"/>
        <v>11.5</v>
      </c>
      <c r="E104" s="135">
        <f>+F65</f>
        <v>0.2732</v>
      </c>
      <c r="F104" s="135">
        <f>+H65</f>
        <v>1</v>
      </c>
      <c r="G104" s="135">
        <f>K41+L65</f>
        <v>29.094610651242455</v>
      </c>
      <c r="H104" s="132">
        <v>0.1</v>
      </c>
      <c r="I104" s="156">
        <v>11000</v>
      </c>
      <c r="J104" s="52">
        <v>1.2</v>
      </c>
      <c r="K104" s="140">
        <f t="shared" ref="K104:K105" si="11">I104*J104</f>
        <v>13200</v>
      </c>
      <c r="L104" s="135">
        <f t="shared" ref="L104:L105" si="12">(($D$96*H104*G104)/(IF(E104&lt;=0.5,$D$98,$D$100)+(0.061*K104)))*100</f>
        <v>0.50454962059923314</v>
      </c>
      <c r="M104" s="81"/>
      <c r="N104" s="81">
        <v>5</v>
      </c>
      <c r="O104" s="81">
        <f t="shared" ref="O104:O105" si="13">F104/E104</f>
        <v>3.6603221083455346</v>
      </c>
      <c r="P104" s="82"/>
      <c r="Q104" s="82"/>
      <c r="R104" s="83"/>
      <c r="S104" s="82"/>
      <c r="T104" s="83"/>
      <c r="U104" s="83"/>
      <c r="V104" s="83"/>
      <c r="W104" s="83"/>
      <c r="X104" s="84"/>
      <c r="Y104" s="84"/>
    </row>
    <row r="105" spans="1:240" s="74" customFormat="1">
      <c r="B105" s="140" t="str">
        <f t="shared" si="10"/>
        <v>CR-05</v>
      </c>
      <c r="C105" s="140">
        <f t="shared" si="10"/>
        <v>156416</v>
      </c>
      <c r="D105" s="135">
        <f t="shared" si="10"/>
        <v>10</v>
      </c>
      <c r="E105" s="135">
        <f>+F66</f>
        <v>0.2732</v>
      </c>
      <c r="F105" s="135">
        <f>+H66</f>
        <v>1</v>
      </c>
      <c r="G105" s="135">
        <f>K42+L66</f>
        <v>29.556049955466634</v>
      </c>
      <c r="H105" s="132">
        <v>0.1</v>
      </c>
      <c r="I105" s="156">
        <v>11000</v>
      </c>
      <c r="J105" s="52">
        <v>1.2</v>
      </c>
      <c r="K105" s="140">
        <f t="shared" si="11"/>
        <v>13200</v>
      </c>
      <c r="L105" s="135">
        <f t="shared" si="12"/>
        <v>0.51255175641286166</v>
      </c>
      <c r="M105" s="81"/>
      <c r="N105" s="81">
        <v>5</v>
      </c>
      <c r="O105" s="81">
        <f t="shared" si="13"/>
        <v>3.6603221083455346</v>
      </c>
      <c r="P105" s="82"/>
      <c r="Q105" s="82"/>
      <c r="R105" s="83"/>
      <c r="S105" s="82"/>
      <c r="T105" s="83"/>
      <c r="U105" s="83"/>
      <c r="V105" s="83"/>
      <c r="W105" s="83"/>
      <c r="X105" s="84"/>
      <c r="Y105" s="84"/>
    </row>
    <row r="106" spans="1:240" s="74" customFormat="1" ht="11.25">
      <c r="N106" s="81"/>
      <c r="O106" s="81"/>
      <c r="P106" s="82"/>
      <c r="Q106" s="82"/>
      <c r="R106" s="83"/>
      <c r="S106" s="82"/>
      <c r="T106" s="83"/>
      <c r="U106" s="83"/>
      <c r="V106" s="83"/>
      <c r="W106" s="83"/>
      <c r="X106" s="84"/>
      <c r="Y106" s="84"/>
    </row>
    <row r="107" spans="1:240" ht="37.5" customHeight="1">
      <c r="A107" s="288" t="s">
        <v>106</v>
      </c>
      <c r="B107" s="288"/>
      <c r="C107" s="288"/>
      <c r="D107" s="288"/>
      <c r="E107" s="288"/>
      <c r="F107" s="288"/>
      <c r="G107" s="288"/>
      <c r="H107" s="288"/>
      <c r="I107" s="288"/>
      <c r="J107" s="288"/>
      <c r="K107" s="288"/>
      <c r="L107" s="288"/>
      <c r="M107" s="288"/>
      <c r="V107" s="83"/>
      <c r="W107" s="83"/>
    </row>
    <row r="108" spans="1:240">
      <c r="V108" s="83"/>
      <c r="W108" s="83"/>
    </row>
    <row r="109" spans="1:240">
      <c r="A109" s="19" t="s">
        <v>60</v>
      </c>
      <c r="N109" s="198" t="s">
        <v>50</v>
      </c>
      <c r="O109" s="198" t="s">
        <v>47</v>
      </c>
      <c r="Q109" s="235" t="s">
        <v>50</v>
      </c>
      <c r="R109" s="235" t="s">
        <v>47</v>
      </c>
      <c r="T109" s="235" t="s">
        <v>51</v>
      </c>
      <c r="U109" s="235" t="s">
        <v>47</v>
      </c>
      <c r="V109" s="83"/>
      <c r="W109" s="83"/>
    </row>
    <row r="110" spans="1:240">
      <c r="N110" s="235"/>
      <c r="O110" s="235"/>
      <c r="Q110" s="235"/>
      <c r="R110" s="235"/>
      <c r="T110" s="235">
        <v>3</v>
      </c>
      <c r="U110" s="235">
        <f>+O111</f>
        <v>1.3</v>
      </c>
      <c r="V110" s="83"/>
      <c r="W110" s="83"/>
    </row>
    <row r="111" spans="1:240">
      <c r="A111" s="298" t="s">
        <v>115</v>
      </c>
      <c r="B111" s="298"/>
      <c r="C111" s="298"/>
      <c r="D111" s="298"/>
      <c r="E111" s="298"/>
      <c r="F111" s="298"/>
      <c r="G111" s="298"/>
      <c r="H111" s="298"/>
      <c r="I111" s="298"/>
      <c r="J111" s="298"/>
      <c r="K111" s="298"/>
      <c r="L111" s="298"/>
      <c r="M111" s="298"/>
      <c r="N111" s="236">
        <v>5</v>
      </c>
      <c r="O111" s="237">
        <v>1.3</v>
      </c>
      <c r="Q111" s="236">
        <f>+N111</f>
        <v>5</v>
      </c>
      <c r="R111" s="237">
        <v>1.1499999999999999</v>
      </c>
      <c r="T111" s="236">
        <v>3.66</v>
      </c>
      <c r="U111" s="238">
        <v>1.2</v>
      </c>
    </row>
    <row r="112" spans="1:240">
      <c r="A112" s="298"/>
      <c r="B112" s="298"/>
      <c r="C112" s="298"/>
      <c r="D112" s="298"/>
      <c r="E112" s="298"/>
      <c r="F112" s="298"/>
      <c r="G112" s="298"/>
      <c r="H112" s="298"/>
      <c r="I112" s="298"/>
      <c r="J112" s="298"/>
      <c r="K112" s="298"/>
      <c r="L112" s="298"/>
      <c r="M112" s="298"/>
      <c r="N112" s="235"/>
      <c r="O112" s="235"/>
      <c r="Q112" s="235"/>
      <c r="R112" s="235"/>
      <c r="T112" s="235">
        <v>4</v>
      </c>
      <c r="U112" s="235">
        <f>+R111</f>
        <v>1.1499999999999999</v>
      </c>
    </row>
    <row r="113" spans="3:21">
      <c r="N113" s="301" t="s">
        <v>327</v>
      </c>
      <c r="O113" s="301"/>
      <c r="Q113" s="293" t="s">
        <v>328</v>
      </c>
      <c r="R113" s="294"/>
      <c r="T113" s="293"/>
      <c r="U113" s="294"/>
    </row>
    <row r="118" spans="3:21">
      <c r="C118" s="17" t="s">
        <v>2</v>
      </c>
    </row>
    <row r="119" spans="3:21">
      <c r="C119" s="62" t="s">
        <v>61</v>
      </c>
      <c r="D119" s="17" t="s">
        <v>216</v>
      </c>
    </row>
    <row r="120" spans="3:21">
      <c r="C120" s="62"/>
      <c r="D120" s="17" t="s">
        <v>214</v>
      </c>
    </row>
    <row r="121" spans="3:21">
      <c r="C121" s="62"/>
      <c r="D121" s="17" t="s">
        <v>215</v>
      </c>
    </row>
    <row r="122" spans="3:21">
      <c r="C122" s="62" t="s">
        <v>62</v>
      </c>
      <c r="D122" s="17" t="s">
        <v>217</v>
      </c>
    </row>
    <row r="123" spans="3:21">
      <c r="C123" s="62"/>
      <c r="D123" s="17" t="s">
        <v>219</v>
      </c>
    </row>
    <row r="124" spans="3:21">
      <c r="C124" s="62"/>
      <c r="D124" s="17" t="s">
        <v>218</v>
      </c>
    </row>
    <row r="125" spans="3:21">
      <c r="C125" s="62" t="s">
        <v>63</v>
      </c>
      <c r="D125" s="17" t="s">
        <v>220</v>
      </c>
    </row>
    <row r="126" spans="3:21">
      <c r="C126" s="62" t="s">
        <v>64</v>
      </c>
      <c r="D126" s="17" t="s">
        <v>65</v>
      </c>
    </row>
    <row r="127" spans="3:21" ht="17.25" customHeight="1">
      <c r="C127" s="62"/>
      <c r="D127" s="17" t="s">
        <v>107</v>
      </c>
    </row>
    <row r="128" spans="3:21">
      <c r="C128" s="62" t="s">
        <v>66</v>
      </c>
      <c r="D128" s="17" t="s">
        <v>221</v>
      </c>
    </row>
    <row r="129" spans="1:24">
      <c r="C129" s="62"/>
      <c r="D129" s="56"/>
    </row>
    <row r="130" spans="1:24" ht="13.5">
      <c r="D130" s="48" t="s">
        <v>108</v>
      </c>
      <c r="E130" s="49"/>
      <c r="F130" s="53">
        <f>D98/8</f>
        <v>7.4709711470795206</v>
      </c>
      <c r="G130" s="123" t="str">
        <f>E98</f>
        <v>Para tuberías PVC Novafort</v>
      </c>
      <c r="H130" s="72"/>
      <c r="I130" s="60"/>
      <c r="J130" s="72"/>
    </row>
    <row r="131" spans="1:24" ht="13.5">
      <c r="D131" s="48" t="s">
        <v>108</v>
      </c>
      <c r="E131" s="49"/>
      <c r="F131" s="53">
        <f>D100/8</f>
        <v>3.6699507389162553</v>
      </c>
      <c r="G131" s="123" t="s">
        <v>44</v>
      </c>
      <c r="H131" s="72"/>
      <c r="I131" s="60"/>
      <c r="J131" s="72"/>
    </row>
    <row r="132" spans="1:24">
      <c r="D132" s="48" t="s">
        <v>67</v>
      </c>
      <c r="E132" s="49"/>
      <c r="F132" s="53">
        <v>2.44</v>
      </c>
      <c r="G132" s="72" t="s">
        <v>68</v>
      </c>
      <c r="H132" s="72"/>
      <c r="I132" s="72"/>
      <c r="J132" s="72"/>
    </row>
    <row r="134" spans="1:24" s="31" customFormat="1" ht="13.5">
      <c r="B134" s="274" t="str">
        <f>B$40</f>
        <v>Pozo de</v>
      </c>
      <c r="C134" s="274" t="str">
        <f>C$40</f>
        <v>Pozo a</v>
      </c>
      <c r="D134" s="274" t="s">
        <v>130</v>
      </c>
      <c r="E134" s="274" t="s">
        <v>208</v>
      </c>
      <c r="F134" s="274" t="s">
        <v>207</v>
      </c>
      <c r="G134" s="202" t="s">
        <v>9</v>
      </c>
      <c r="H134" s="202" t="s">
        <v>45</v>
      </c>
      <c r="I134" s="274" t="s">
        <v>69</v>
      </c>
      <c r="J134" s="274" t="s">
        <v>70</v>
      </c>
      <c r="K134" s="274" t="s">
        <v>71</v>
      </c>
      <c r="L134" s="202" t="s">
        <v>229</v>
      </c>
      <c r="W134" s="17"/>
      <c r="X134" s="17"/>
    </row>
    <row r="135" spans="1:24">
      <c r="B135" s="275"/>
      <c r="C135" s="275"/>
      <c r="D135" s="275"/>
      <c r="E135" s="287"/>
      <c r="F135" s="287"/>
      <c r="G135" s="146" t="s">
        <v>16</v>
      </c>
      <c r="H135" s="147" t="s">
        <v>49</v>
      </c>
      <c r="I135" s="275"/>
      <c r="J135" s="275"/>
      <c r="K135" s="275"/>
      <c r="L135" s="203" t="s">
        <v>72</v>
      </c>
    </row>
    <row r="136" spans="1:24" s="74" customFormat="1">
      <c r="B136" s="140" t="str">
        <f t="shared" ref="B136:E137" si="14">+B104</f>
        <v>CR-04</v>
      </c>
      <c r="C136" s="140" t="str">
        <f t="shared" si="14"/>
        <v>156416B</v>
      </c>
      <c r="D136" s="135">
        <f t="shared" si="14"/>
        <v>11.5</v>
      </c>
      <c r="E136" s="135">
        <f t="shared" si="14"/>
        <v>0.2732</v>
      </c>
      <c r="F136" s="135">
        <f>+G65</f>
        <v>2.12</v>
      </c>
      <c r="G136" s="135">
        <f>+F104</f>
        <v>1</v>
      </c>
      <c r="H136" s="135">
        <f>+G104</f>
        <v>29.094610651242455</v>
      </c>
      <c r="I136" s="28">
        <f t="shared" ref="I136:I137" si="15">IF(F136/E136&gt;=2,2.5,3)</f>
        <v>2.5</v>
      </c>
      <c r="J136" s="28">
        <f t="shared" ref="J136:J137" si="16">IF($F$132&lt;=F136,1-0.33*($F$132/F136),1)</f>
        <v>1</v>
      </c>
      <c r="K136" s="135">
        <f t="shared" ref="K136:K137" si="17">1/(1+4*EXP(-0.2133*F136))</f>
        <v>0.28209398610923425</v>
      </c>
      <c r="L136" s="135">
        <f>1/I136*SQRT(32*J136*K136*K104*IF(E136&lt;=0.5,$F$130,$F$131))</f>
        <v>377.4047740002872</v>
      </c>
      <c r="W136" s="76"/>
      <c r="X136" s="76"/>
    </row>
    <row r="137" spans="1:24" s="74" customFormat="1">
      <c r="B137" s="140" t="str">
        <f t="shared" si="14"/>
        <v>CR-05</v>
      </c>
      <c r="C137" s="140">
        <f t="shared" si="14"/>
        <v>156416</v>
      </c>
      <c r="D137" s="135">
        <f t="shared" si="14"/>
        <v>10</v>
      </c>
      <c r="E137" s="135">
        <f t="shared" si="14"/>
        <v>0.2732</v>
      </c>
      <c r="F137" s="135">
        <f>+G66</f>
        <v>1.88</v>
      </c>
      <c r="G137" s="135">
        <f>+F105</f>
        <v>1</v>
      </c>
      <c r="H137" s="135">
        <f>+G105</f>
        <v>29.556049955466634</v>
      </c>
      <c r="I137" s="28">
        <f t="shared" si="15"/>
        <v>2.5</v>
      </c>
      <c r="J137" s="28">
        <f t="shared" si="16"/>
        <v>1</v>
      </c>
      <c r="K137" s="135">
        <f t="shared" si="17"/>
        <v>0.27184332253072235</v>
      </c>
      <c r="L137" s="135">
        <f>1/I137*SQRT(32*J137*K137*K105*IF(E137&lt;=0.5,$F$130,$F$131))</f>
        <v>370.48430157950531</v>
      </c>
      <c r="W137" s="76"/>
      <c r="X137" s="76"/>
    </row>
    <row r="138" spans="1:24" s="74" customFormat="1"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</row>
    <row r="139" spans="1:24">
      <c r="A139" s="17" t="s">
        <v>73</v>
      </c>
      <c r="H139" s="63"/>
    </row>
    <row r="140" spans="1:24">
      <c r="H140" s="63"/>
    </row>
    <row r="141" spans="1:24">
      <c r="H141" s="63"/>
    </row>
    <row r="142" spans="1:24">
      <c r="H142" s="63"/>
    </row>
    <row r="143" spans="1:24">
      <c r="H143" s="63"/>
    </row>
    <row r="144" spans="1:24">
      <c r="H144" s="63"/>
    </row>
    <row r="146" spans="1:24" s="31" customFormat="1" ht="27" customHeight="1">
      <c r="C146" s="202" t="str">
        <f>B$40</f>
        <v>Pozo de</v>
      </c>
      <c r="D146" s="202" t="str">
        <f>C$40</f>
        <v>Pozo a</v>
      </c>
      <c r="E146" s="202" t="s">
        <v>222</v>
      </c>
      <c r="F146" s="204" t="s">
        <v>204</v>
      </c>
      <c r="G146" s="202" t="s">
        <v>207</v>
      </c>
      <c r="H146" s="202" t="s">
        <v>206</v>
      </c>
      <c r="I146" s="202" t="s">
        <v>211</v>
      </c>
      <c r="J146" s="202" t="s">
        <v>230</v>
      </c>
      <c r="K146" s="202" t="s">
        <v>231</v>
      </c>
      <c r="W146" s="17"/>
      <c r="X146" s="17"/>
    </row>
    <row r="147" spans="1:24" s="74" customFormat="1">
      <c r="C147" s="135" t="str">
        <f t="shared" ref="C147:G148" si="18">+B136</f>
        <v>CR-04</v>
      </c>
      <c r="D147" s="135" t="str">
        <f t="shared" si="18"/>
        <v>156416B</v>
      </c>
      <c r="E147" s="135">
        <f t="shared" si="18"/>
        <v>11.5</v>
      </c>
      <c r="F147" s="135">
        <f t="shared" si="18"/>
        <v>0.2732</v>
      </c>
      <c r="G147" s="135">
        <f t="shared" si="18"/>
        <v>2.12</v>
      </c>
      <c r="H147" s="135">
        <f>+K41</f>
        <v>11.583680000000001</v>
      </c>
      <c r="I147" s="135">
        <f>+L65</f>
        <v>17.510930651242454</v>
      </c>
      <c r="J147" s="135">
        <f>10*IF(G147&gt;$F$132,G147-$F$132,0)+(J136*H147/F147)+I147/F147</f>
        <v>106.49564660044823</v>
      </c>
      <c r="K147" s="135" t="str">
        <f>IF(J147&lt;L136,"OK","NO CUMPLE")</f>
        <v>OK</v>
      </c>
    </row>
    <row r="148" spans="1:24" s="74" customFormat="1">
      <c r="C148" s="135" t="str">
        <f t="shared" si="18"/>
        <v>CR-05</v>
      </c>
      <c r="D148" s="135">
        <f t="shared" si="18"/>
        <v>156416</v>
      </c>
      <c r="E148" s="135">
        <f t="shared" si="18"/>
        <v>10</v>
      </c>
      <c r="F148" s="135">
        <f t="shared" si="18"/>
        <v>0.2732</v>
      </c>
      <c r="G148" s="135">
        <f t="shared" si="18"/>
        <v>1.88</v>
      </c>
      <c r="H148" s="135">
        <f>+K42</f>
        <v>10.272319999999999</v>
      </c>
      <c r="I148" s="135">
        <f>+L66</f>
        <v>19.283729955466637</v>
      </c>
      <c r="J148" s="135">
        <f>10*IF(G148&gt;$F$132,G148-$F$132,0)+(J137*H148/F148)+I148/F148</f>
        <v>108.18466308735957</v>
      </c>
      <c r="K148" s="135" t="str">
        <f>IF(J148&lt;L137,"OK","NO CUMPLE")</f>
        <v>OK</v>
      </c>
    </row>
    <row r="149" spans="1:24" s="74" customFormat="1" ht="11.25"/>
    <row r="150" spans="1:24">
      <c r="A150" s="64" t="s">
        <v>74</v>
      </c>
      <c r="B150" s="65"/>
      <c r="C150" s="65"/>
      <c r="D150" s="65"/>
      <c r="E150" s="65"/>
      <c r="F150" s="65"/>
      <c r="G150" s="65"/>
    </row>
    <row r="151" spans="1:24">
      <c r="A151" s="65"/>
      <c r="B151" s="65"/>
      <c r="C151" s="65"/>
      <c r="D151" s="65"/>
      <c r="E151" s="65"/>
      <c r="F151" s="65"/>
      <c r="G151" s="65"/>
    </row>
    <row r="152" spans="1:24">
      <c r="A152" s="65" t="s">
        <v>109</v>
      </c>
      <c r="B152" s="65"/>
      <c r="C152" s="65"/>
      <c r="D152" s="65"/>
      <c r="E152" s="65"/>
      <c r="F152" s="65"/>
      <c r="G152" s="65"/>
    </row>
    <row r="153" spans="1:24">
      <c r="A153" s="65"/>
      <c r="B153" s="65"/>
      <c r="C153" s="65"/>
      <c r="D153" s="65"/>
      <c r="E153" s="65"/>
      <c r="F153" s="65"/>
      <c r="G153" s="65"/>
    </row>
    <row r="154" spans="1:24">
      <c r="A154" s="1"/>
      <c r="B154" s="65"/>
      <c r="C154" s="65"/>
      <c r="D154" s="65"/>
      <c r="E154" s="65"/>
      <c r="F154" s="65"/>
      <c r="G154" s="65"/>
    </row>
    <row r="155" spans="1:24">
      <c r="A155" s="65"/>
      <c r="B155" s="65"/>
      <c r="C155" s="65"/>
      <c r="D155" s="65"/>
      <c r="E155" s="65"/>
      <c r="F155" s="65"/>
      <c r="G155" s="65"/>
    </row>
    <row r="156" spans="1:24">
      <c r="A156" s="65"/>
      <c r="B156" s="65"/>
      <c r="C156" s="65"/>
      <c r="D156" s="65"/>
      <c r="E156" s="65"/>
      <c r="F156" s="65"/>
      <c r="G156" s="65"/>
    </row>
    <row r="157" spans="1:24">
      <c r="A157" s="65" t="s">
        <v>2</v>
      </c>
      <c r="B157" s="65"/>
      <c r="C157" s="65"/>
      <c r="D157" s="65"/>
      <c r="E157" s="65"/>
      <c r="F157" s="65"/>
      <c r="G157" s="65"/>
    </row>
    <row r="158" spans="1:24" ht="13.5">
      <c r="A158" s="65"/>
      <c r="B158" s="66" t="s">
        <v>110</v>
      </c>
      <c r="C158" s="67" t="s">
        <v>75</v>
      </c>
      <c r="D158" s="67"/>
      <c r="E158" s="65"/>
      <c r="F158" s="65"/>
      <c r="G158" s="65"/>
    </row>
    <row r="159" spans="1:24">
      <c r="A159" s="65"/>
      <c r="B159" s="66" t="s">
        <v>26</v>
      </c>
      <c r="C159" s="67" t="s">
        <v>76</v>
      </c>
      <c r="D159" s="65"/>
      <c r="E159" s="65"/>
      <c r="F159" s="65"/>
      <c r="G159" s="65"/>
    </row>
    <row r="160" spans="1:24" ht="13.5">
      <c r="A160" s="65"/>
      <c r="B160" s="66" t="s">
        <v>77</v>
      </c>
      <c r="C160" s="65" t="s">
        <v>111</v>
      </c>
      <c r="D160" s="65"/>
      <c r="E160" s="65"/>
      <c r="F160" s="65"/>
      <c r="G160" s="65"/>
    </row>
    <row r="161" spans="1:22">
      <c r="A161" s="65"/>
      <c r="B161" s="65"/>
      <c r="C161" s="65"/>
      <c r="D161" s="65"/>
      <c r="E161" s="65"/>
      <c r="F161" s="65"/>
      <c r="G161" s="65"/>
    </row>
    <row r="162" spans="1:22" ht="14.25">
      <c r="A162" s="65" t="s">
        <v>112</v>
      </c>
      <c r="B162" s="65"/>
      <c r="C162" s="65"/>
      <c r="D162" s="65"/>
      <c r="E162" s="65"/>
      <c r="F162" s="65"/>
      <c r="G162" s="65"/>
    </row>
    <row r="163" spans="1:22">
      <c r="B163" s="65"/>
      <c r="C163" s="65"/>
      <c r="D163" s="65"/>
      <c r="E163" s="65"/>
      <c r="F163" s="65"/>
      <c r="G163" s="65"/>
      <c r="H163" s="65"/>
    </row>
    <row r="164" spans="1:22" ht="25.5">
      <c r="D164" s="149" t="str">
        <f>B40</f>
        <v>Pozo de</v>
      </c>
      <c r="E164" s="149" t="str">
        <f>C40</f>
        <v>Pozo a</v>
      </c>
      <c r="F164" s="202" t="str">
        <f>E40</f>
        <v>Diám Nominal (in)</v>
      </c>
      <c r="G164" s="202" t="s">
        <v>208</v>
      </c>
      <c r="H164" s="149" t="s">
        <v>212</v>
      </c>
      <c r="I164" s="150" t="s">
        <v>232</v>
      </c>
      <c r="J164" s="150" t="s">
        <v>233</v>
      </c>
      <c r="O164" s="199"/>
      <c r="P164" s="199"/>
      <c r="Q164" s="199"/>
      <c r="R164" s="199"/>
      <c r="S164" s="199"/>
      <c r="T164" s="199"/>
      <c r="U164" s="199"/>
      <c r="V164" s="199"/>
    </row>
    <row r="165" spans="1:22" s="74" customFormat="1">
      <c r="D165" s="151" t="str">
        <f>+C147</f>
        <v>CR-04</v>
      </c>
      <c r="E165" s="151" t="str">
        <f>+D147</f>
        <v>156416B</v>
      </c>
      <c r="F165" s="151">
        <f>+E41</f>
        <v>10</v>
      </c>
      <c r="G165" s="152">
        <f>+F147</f>
        <v>0.2732</v>
      </c>
      <c r="H165" s="152">
        <f>+I147+H147</f>
        <v>29.094610651242455</v>
      </c>
      <c r="I165" s="152">
        <f t="shared" ref="I165:I166" si="19">2*H165/(PI()*G165)</f>
        <v>67.797234296915747</v>
      </c>
      <c r="J165" s="152" t="str">
        <f t="shared" ref="J165:J166" si="20">IF(I165&lt;67500,"OK","Falta")</f>
        <v>OK</v>
      </c>
    </row>
    <row r="166" spans="1:22" s="74" customFormat="1">
      <c r="D166" s="151" t="str">
        <f>+C148</f>
        <v>CR-05</v>
      </c>
      <c r="E166" s="151">
        <f>+D148</f>
        <v>156416</v>
      </c>
      <c r="F166" s="151">
        <f>+E42</f>
        <v>10</v>
      </c>
      <c r="G166" s="152">
        <f>+F148</f>
        <v>0.2732</v>
      </c>
      <c r="H166" s="152">
        <f>+I148+H148</f>
        <v>29.556049955466634</v>
      </c>
      <c r="I166" s="152">
        <f t="shared" si="19"/>
        <v>68.872495588338339</v>
      </c>
      <c r="J166" s="152" t="str">
        <f t="shared" si="20"/>
        <v>OK</v>
      </c>
    </row>
    <row r="167" spans="1:22" s="74" customFormat="1">
      <c r="D167" s="218"/>
      <c r="E167" s="218"/>
      <c r="F167" s="218"/>
      <c r="G167" s="219"/>
      <c r="H167" s="219"/>
      <c r="I167" s="219"/>
      <c r="J167" s="219"/>
    </row>
    <row r="168" spans="1:22" s="74" customFormat="1">
      <c r="A168" s="64" t="s">
        <v>240</v>
      </c>
    </row>
    <row r="169" spans="1:22" s="74" customFormat="1">
      <c r="A169" s="65"/>
    </row>
    <row r="170" spans="1:22" s="74" customFormat="1" ht="35.25" customHeight="1">
      <c r="A170" s="292" t="s">
        <v>379</v>
      </c>
      <c r="B170" s="292"/>
      <c r="C170" s="292"/>
      <c r="D170" s="292"/>
      <c r="E170" s="292"/>
      <c r="F170" s="292"/>
      <c r="G170" s="292"/>
      <c r="H170" s="292"/>
      <c r="I170" s="292"/>
      <c r="J170" s="292"/>
      <c r="K170" s="292"/>
      <c r="L170" s="292"/>
      <c r="M170" s="292"/>
    </row>
    <row r="171" spans="1:22" s="74" customFormat="1">
      <c r="A171" s="65"/>
    </row>
    <row r="172" spans="1:22" s="74" customFormat="1" ht="11.25" customHeight="1">
      <c r="D172" s="286" t="s">
        <v>125</v>
      </c>
      <c r="E172" s="286" t="s">
        <v>126</v>
      </c>
      <c r="F172" s="286" t="s">
        <v>134</v>
      </c>
      <c r="G172" s="279" t="s">
        <v>191</v>
      </c>
      <c r="H172" s="299" t="s">
        <v>135</v>
      </c>
      <c r="I172" s="286" t="s">
        <v>131</v>
      </c>
    </row>
    <row r="173" spans="1:22" s="74" customFormat="1" ht="11.25" customHeight="1">
      <c r="D173" s="287"/>
      <c r="E173" s="287"/>
      <c r="F173" s="287"/>
      <c r="G173" s="279"/>
      <c r="H173" s="300"/>
      <c r="I173" s="287"/>
    </row>
    <row r="174" spans="1:22" s="74" customFormat="1">
      <c r="D174" s="90" t="str">
        <f>+B65</f>
        <v>CR-04</v>
      </c>
      <c r="E174" s="90" t="str">
        <f>+C65</f>
        <v>156416B</v>
      </c>
      <c r="F174" s="21">
        <f>+G65</f>
        <v>2.12</v>
      </c>
      <c r="G174" s="21">
        <f>+P41</f>
        <v>2.4932000000000003</v>
      </c>
      <c r="H174" s="153" t="str">
        <f t="shared" ref="H174:H175" si="21">+IF(G174&gt;0.5,"NO","SI")</f>
        <v>NO</v>
      </c>
      <c r="I174" s="198" t="s">
        <v>380</v>
      </c>
    </row>
    <row r="175" spans="1:22" s="74" customFormat="1">
      <c r="D175" s="90" t="str">
        <f>+B66</f>
        <v>CR-05</v>
      </c>
      <c r="E175" s="90">
        <f>+C66</f>
        <v>156416</v>
      </c>
      <c r="F175" s="21">
        <f>+G66</f>
        <v>1.88</v>
      </c>
      <c r="G175" s="21">
        <f>+P42</f>
        <v>2.2532000000000001</v>
      </c>
      <c r="H175" s="153" t="str">
        <f t="shared" si="21"/>
        <v>NO</v>
      </c>
      <c r="I175" s="198" t="s">
        <v>380</v>
      </c>
    </row>
    <row r="177" spans="1:13">
      <c r="A177" s="64" t="s">
        <v>398</v>
      </c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</row>
    <row r="178" spans="1:13">
      <c r="A178" s="65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</row>
    <row r="179" spans="1:13">
      <c r="A179" s="17" t="s">
        <v>392</v>
      </c>
    </row>
    <row r="203" spans="2:21">
      <c r="B203" s="279" t="s">
        <v>128</v>
      </c>
      <c r="C203" s="279" t="s">
        <v>129</v>
      </c>
      <c r="D203" s="317" t="s">
        <v>48</v>
      </c>
      <c r="E203" s="317" t="s">
        <v>16</v>
      </c>
      <c r="F203" s="317" t="s">
        <v>134</v>
      </c>
      <c r="G203" s="279" t="s">
        <v>191</v>
      </c>
      <c r="H203" s="279" t="s">
        <v>393</v>
      </c>
      <c r="I203" s="279" t="s">
        <v>394</v>
      </c>
      <c r="J203" s="279" t="s">
        <v>395</v>
      </c>
      <c r="K203" s="279" t="s">
        <v>396</v>
      </c>
      <c r="L203" s="279" t="s">
        <v>397</v>
      </c>
    </row>
    <row r="204" spans="2:21">
      <c r="B204" s="279"/>
      <c r="C204" s="279"/>
      <c r="D204" s="317"/>
      <c r="E204" s="317"/>
      <c r="F204" s="317"/>
      <c r="G204" s="279"/>
      <c r="H204" s="279"/>
      <c r="I204" s="279"/>
      <c r="J204" s="279"/>
      <c r="K204" s="279"/>
      <c r="L204" s="279"/>
    </row>
    <row r="205" spans="2:21">
      <c r="B205" s="90" t="str">
        <f>+D174</f>
        <v>CR-04</v>
      </c>
      <c r="C205" s="90" t="str">
        <f>+E174</f>
        <v>156416B</v>
      </c>
      <c r="D205" s="21">
        <f>+G165</f>
        <v>0.2732</v>
      </c>
      <c r="E205" s="21">
        <f>+G136</f>
        <v>1</v>
      </c>
      <c r="F205" s="21">
        <f>+F174</f>
        <v>2.12</v>
      </c>
      <c r="G205" s="21">
        <f>+G174</f>
        <v>2.4932000000000003</v>
      </c>
      <c r="H205" s="21">
        <v>0.1</v>
      </c>
      <c r="I205" s="21">
        <f t="shared" ref="I205:I206" si="22">+D205*0.6</f>
        <v>0.16391999999999998</v>
      </c>
      <c r="J205" s="21">
        <f t="shared" ref="J205:J206" si="23">(0.4*D205)+0.3</f>
        <v>0.40927999999999998</v>
      </c>
      <c r="K205" s="21">
        <f t="shared" ref="K205:K206" si="24">G205-J205-I205-H205-L205</f>
        <v>1.3200000000000003</v>
      </c>
      <c r="L205" s="21">
        <v>0.5</v>
      </c>
    </row>
    <row r="206" spans="2:21">
      <c r="B206" s="90" t="str">
        <f>+D175</f>
        <v>CR-05</v>
      </c>
      <c r="C206" s="90">
        <f>+E175</f>
        <v>156416</v>
      </c>
      <c r="D206" s="21">
        <f>+G166</f>
        <v>0.2732</v>
      </c>
      <c r="E206" s="21">
        <f>+G137</f>
        <v>1</v>
      </c>
      <c r="F206" s="21">
        <f>+F175</f>
        <v>1.88</v>
      </c>
      <c r="G206" s="21">
        <f>+G175</f>
        <v>2.2532000000000001</v>
      </c>
      <c r="H206" s="21">
        <v>0.1</v>
      </c>
      <c r="I206" s="21">
        <f t="shared" si="22"/>
        <v>0.16391999999999998</v>
      </c>
      <c r="J206" s="21">
        <f t="shared" si="23"/>
        <v>0.40927999999999998</v>
      </c>
      <c r="K206" s="21">
        <f t="shared" si="24"/>
        <v>1.08</v>
      </c>
      <c r="L206" s="21">
        <v>0.5</v>
      </c>
    </row>
    <row r="208" spans="2:21">
      <c r="N208" s="72"/>
      <c r="O208" s="72"/>
      <c r="P208" s="72"/>
      <c r="Q208" s="72"/>
      <c r="R208" s="72"/>
      <c r="S208" s="72"/>
      <c r="T208" s="72"/>
      <c r="U208" s="72"/>
    </row>
    <row r="209" spans="11:11">
      <c r="K209" s="17" t="s">
        <v>136</v>
      </c>
    </row>
  </sheetData>
  <autoFilter ref="A40:M42" xr:uid="{00000000-0001-0000-0400-000000000000}"/>
  <mergeCells count="37">
    <mergeCell ref="A170:M170"/>
    <mergeCell ref="D172:D173"/>
    <mergeCell ref="E172:E173"/>
    <mergeCell ref="F172:F173"/>
    <mergeCell ref="G172:G173"/>
    <mergeCell ref="H172:H173"/>
    <mergeCell ref="I172:I173"/>
    <mergeCell ref="S83:S84"/>
    <mergeCell ref="T83:AA83"/>
    <mergeCell ref="A107:M107"/>
    <mergeCell ref="A111:M112"/>
    <mergeCell ref="B134:B135"/>
    <mergeCell ref="C134:C135"/>
    <mergeCell ref="D134:D135"/>
    <mergeCell ref="E134:E135"/>
    <mergeCell ref="F134:F135"/>
    <mergeCell ref="N113:O113"/>
    <mergeCell ref="Q113:R113"/>
    <mergeCell ref="T113:U113"/>
    <mergeCell ref="A2:M2"/>
    <mergeCell ref="A3:M3"/>
    <mergeCell ref="C60:C62"/>
    <mergeCell ref="A70:M71"/>
    <mergeCell ref="I134:I135"/>
    <mergeCell ref="J134:J135"/>
    <mergeCell ref="K134:K135"/>
    <mergeCell ref="B203:B204"/>
    <mergeCell ref="C203:C204"/>
    <mergeCell ref="D203:D204"/>
    <mergeCell ref="E203:E204"/>
    <mergeCell ref="F203:F204"/>
    <mergeCell ref="L203:L204"/>
    <mergeCell ref="G203:G204"/>
    <mergeCell ref="H203:H204"/>
    <mergeCell ref="I203:I204"/>
    <mergeCell ref="J203:J204"/>
    <mergeCell ref="K203:K204"/>
  </mergeCells>
  <conditionalFormatting sqref="L104:L105">
    <cfRule type="cellIs" dxfId="4" priority="1" stopIfTrue="1" operator="greaterThanOrEqual">
      <formula>5</formula>
    </cfRule>
  </conditionalFormatting>
  <printOptions horizontalCentered="1"/>
  <pageMargins left="0.78740157480314965" right="0.78740157480314965" top="1.1811023622047245" bottom="1.1811023622047245" header="0.78740157480314965" footer="0.78740157480314965"/>
  <pageSetup scale="60" fitToHeight="0" orientation="portrait" r:id="rId1"/>
  <rowBreaks count="2" manualBreakCount="2">
    <brk id="67" max="12" man="1"/>
    <brk id="138" max="12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65CFA-16CF-432C-A2E4-24A6CFF371ED}">
  <sheetPr>
    <tabColor theme="6" tint="0.39997558519241921"/>
    <pageSetUpPr fitToPage="1"/>
  </sheetPr>
  <dimension ref="A2:IF225"/>
  <sheetViews>
    <sheetView view="pageBreakPreview" topLeftCell="A179" zoomScale="90" zoomScaleNormal="90" zoomScaleSheetLayoutView="90" workbookViewId="0">
      <selection activeCell="A2" sqref="A2:XFD3"/>
    </sheetView>
  </sheetViews>
  <sheetFormatPr baseColWidth="10" defaultColWidth="11.42578125" defaultRowHeight="12"/>
  <cols>
    <col min="1" max="2" width="9.140625" style="17" customWidth="1"/>
    <col min="3" max="3" width="9.5703125" style="17" customWidth="1"/>
    <col min="4" max="4" width="9.28515625" style="17" customWidth="1"/>
    <col min="5" max="5" width="12.140625" style="17" customWidth="1"/>
    <col min="6" max="6" width="11.85546875" style="17" customWidth="1"/>
    <col min="7" max="7" width="14.5703125" style="17" customWidth="1"/>
    <col min="8" max="8" width="12.7109375" style="17" customWidth="1"/>
    <col min="9" max="9" width="10.85546875" style="17" customWidth="1"/>
    <col min="10" max="10" width="11" style="17" customWidth="1"/>
    <col min="11" max="11" width="10.28515625" style="17" customWidth="1"/>
    <col min="12" max="12" width="12.5703125" style="17" customWidth="1"/>
    <col min="13" max="13" width="12.85546875" style="17" customWidth="1"/>
    <col min="14" max="14" width="11.42578125" style="17"/>
    <col min="15" max="16" width="11.85546875" style="17" bestFit="1" customWidth="1"/>
    <col min="17" max="17" width="11.85546875" style="17" customWidth="1"/>
    <col min="18" max="18" width="11.85546875" style="17" bestFit="1" customWidth="1"/>
    <col min="19" max="19" width="16.28515625" style="17" bestFit="1" customWidth="1"/>
    <col min="20" max="20" width="11.85546875" style="17" bestFit="1" customWidth="1"/>
    <col min="21" max="21" width="15.140625" style="17" customWidth="1"/>
    <col min="22" max="22" width="11.5703125" style="17" bestFit="1" customWidth="1"/>
    <col min="23" max="23" width="15" style="17" customWidth="1"/>
    <col min="24" max="24" width="11.5703125" style="17" bestFit="1" customWidth="1"/>
    <col min="25" max="16384" width="11.42578125" style="17"/>
  </cols>
  <sheetData>
    <row r="2" spans="1:13" ht="12.75" customHeight="1">
      <c r="A2" s="302" t="s">
        <v>236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3" spans="1:13" s="56" customFormat="1" ht="12.75" customHeight="1">
      <c r="A3" s="303" t="s">
        <v>343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</row>
    <row r="5" spans="1:13">
      <c r="A5" s="19" t="s">
        <v>78</v>
      </c>
    </row>
    <row r="7" spans="1:13">
      <c r="A7" s="19" t="s">
        <v>0</v>
      </c>
    </row>
    <row r="8" spans="1:13">
      <c r="A8" s="19"/>
    </row>
    <row r="9" spans="1:13">
      <c r="A9" s="19" t="s">
        <v>1</v>
      </c>
    </row>
    <row r="10" spans="1:13" ht="12.75" customHeight="1"/>
    <row r="11" spans="1:13" ht="12.75" customHeight="1"/>
    <row r="12" spans="1:13" ht="12.75" customHeight="1"/>
    <row r="13" spans="1:13">
      <c r="E13" s="20"/>
      <c r="F13" s="20"/>
      <c r="G13" s="18"/>
    </row>
    <row r="14" spans="1:13">
      <c r="D14" s="17" t="s">
        <v>2</v>
      </c>
    </row>
    <row r="15" spans="1:13">
      <c r="E15" s="20"/>
      <c r="F15" s="20"/>
      <c r="G15" s="18"/>
    </row>
    <row r="16" spans="1:13">
      <c r="E16" s="20"/>
      <c r="F16" s="20"/>
      <c r="G16" s="18"/>
    </row>
    <row r="17" spans="1:15">
      <c r="E17" s="20"/>
      <c r="F17" s="20"/>
      <c r="G17" s="18"/>
    </row>
    <row r="18" spans="1:15">
      <c r="E18" s="20"/>
      <c r="F18" s="20"/>
      <c r="G18" s="18"/>
    </row>
    <row r="19" spans="1:15">
      <c r="E19" s="20"/>
      <c r="F19" s="20"/>
      <c r="G19" s="18"/>
    </row>
    <row r="20" spans="1:15">
      <c r="E20" s="20"/>
      <c r="F20" s="20"/>
      <c r="G20" s="18"/>
    </row>
    <row r="21" spans="1:15">
      <c r="E21" s="20"/>
      <c r="F21" s="20"/>
      <c r="G21" s="18"/>
    </row>
    <row r="22" spans="1:15">
      <c r="E22" s="20"/>
      <c r="F22" s="20"/>
      <c r="G22" s="18"/>
    </row>
    <row r="23" spans="1:15" ht="7.5" customHeight="1">
      <c r="E23" s="20"/>
      <c r="F23" s="20"/>
      <c r="G23" s="18"/>
    </row>
    <row r="25" spans="1:15">
      <c r="A25" s="19" t="s">
        <v>3</v>
      </c>
      <c r="G25" s="18"/>
    </row>
    <row r="26" spans="1:15">
      <c r="G26" s="18"/>
    </row>
    <row r="27" spans="1:15">
      <c r="G27" s="18"/>
    </row>
    <row r="28" spans="1:15">
      <c r="G28" s="18"/>
    </row>
    <row r="29" spans="1:15">
      <c r="E29" s="20"/>
      <c r="F29" s="20"/>
      <c r="G29" s="18"/>
    </row>
    <row r="30" spans="1:15">
      <c r="D30" s="17" t="s">
        <v>2</v>
      </c>
      <c r="G30" s="18"/>
      <c r="N30" s="29"/>
      <c r="O30" s="29"/>
    </row>
    <row r="31" spans="1:15">
      <c r="G31" s="18"/>
      <c r="N31" s="29"/>
      <c r="O31" s="29"/>
    </row>
    <row r="32" spans="1:15">
      <c r="E32" s="20"/>
      <c r="F32" s="20"/>
      <c r="G32" s="18"/>
      <c r="N32" s="29"/>
      <c r="O32" s="29"/>
    </row>
    <row r="33" spans="1:22" ht="18.75" customHeight="1">
      <c r="E33" s="22"/>
      <c r="F33" s="22"/>
      <c r="G33" s="18"/>
      <c r="N33" s="29"/>
      <c r="O33" s="29"/>
    </row>
    <row r="34" spans="1:22">
      <c r="A34" s="17" t="s">
        <v>4</v>
      </c>
      <c r="N34" s="29"/>
      <c r="O34" s="29"/>
    </row>
    <row r="35" spans="1:22" ht="16.5" customHeight="1">
      <c r="N35" s="29"/>
      <c r="O35" s="29"/>
    </row>
    <row r="36" spans="1:22">
      <c r="C36" s="23" t="s">
        <v>96</v>
      </c>
      <c r="D36" s="41">
        <v>30</v>
      </c>
      <c r="E36" s="130"/>
      <c r="F36" s="131" t="s">
        <v>97</v>
      </c>
      <c r="G36" s="132">
        <f>D36*PI()/180</f>
        <v>0.52359877559829882</v>
      </c>
      <c r="K36" s="26"/>
    </row>
    <row r="37" spans="1:22" ht="13.5">
      <c r="C37" s="27" t="s">
        <v>5</v>
      </c>
      <c r="D37" s="132">
        <f>(TAN(PI()/4-G36/2))^2</f>
        <v>0.33333333333333343</v>
      </c>
      <c r="E37" s="130"/>
      <c r="F37" s="131" t="s">
        <v>98</v>
      </c>
      <c r="G37" s="54">
        <v>20</v>
      </c>
      <c r="K37" s="26"/>
    </row>
    <row r="38" spans="1:22">
      <c r="C38" s="23" t="s">
        <v>99</v>
      </c>
      <c r="D38" s="25">
        <f>TAN(G36)</f>
        <v>0.57735026918962573</v>
      </c>
      <c r="E38" s="24"/>
      <c r="K38" s="26"/>
    </row>
    <row r="40" spans="1:22" s="31" customFormat="1" ht="36.75" customHeight="1">
      <c r="A40" s="168"/>
      <c r="B40" s="138" t="s">
        <v>128</v>
      </c>
      <c r="C40" s="202" t="s">
        <v>129</v>
      </c>
      <c r="D40" s="202" t="s">
        <v>130</v>
      </c>
      <c r="E40" s="202" t="s">
        <v>209</v>
      </c>
      <c r="F40" s="202" t="s">
        <v>208</v>
      </c>
      <c r="G40" s="202" t="s">
        <v>223</v>
      </c>
      <c r="H40" s="202" t="s">
        <v>207</v>
      </c>
      <c r="I40" s="202" t="s">
        <v>205</v>
      </c>
      <c r="J40" s="204" t="s">
        <v>10</v>
      </c>
      <c r="K40" s="202" t="s">
        <v>206</v>
      </c>
      <c r="L40" s="202" t="s">
        <v>202</v>
      </c>
      <c r="O40" s="138" t="s">
        <v>203</v>
      </c>
      <c r="P40" s="198" t="s">
        <v>11</v>
      </c>
      <c r="Q40" s="137" t="s">
        <v>12</v>
      </c>
      <c r="R40" s="201"/>
      <c r="S40" s="197"/>
      <c r="V40" s="17"/>
    </row>
    <row r="41" spans="1:22" ht="13.5" customHeight="1">
      <c r="A41" s="169"/>
      <c r="B41" s="55" t="s">
        <v>306</v>
      </c>
      <c r="C41" s="178" t="s">
        <v>307</v>
      </c>
      <c r="D41" s="53">
        <v>7.3</v>
      </c>
      <c r="E41" s="55">
        <v>10</v>
      </c>
      <c r="F41" s="134">
        <f>+INDEX(Especificaciones!$C$5:$C$25,MATCH('Flexible - D P8'!O41,Especificaciones!$B$5:$B$25,-1))</f>
        <v>0.2732</v>
      </c>
      <c r="G41" s="231">
        <v>2739.24</v>
      </c>
      <c r="H41" s="231">
        <v>1.24</v>
      </c>
      <c r="I41" s="53">
        <v>1</v>
      </c>
      <c r="J41" s="32">
        <f t="shared" ref="J41:J44" si="0">IF(I41&gt;=2*F41,H41/F41,(1-EXP(-2*$D$37*$D$38*H41/I41))/(2*$D$37*$D$38))</f>
        <v>4.5387994143484622</v>
      </c>
      <c r="K41" s="135">
        <f t="shared" ref="K41:K44" si="1">IF(I41&gt;=2*F41,J41*$G$37*F41^2,J41*$G$37*I41*F41)</f>
        <v>6.7753599999999983</v>
      </c>
      <c r="L41" s="135" t="s">
        <v>17</v>
      </c>
      <c r="N41" s="38"/>
      <c r="O41" s="55">
        <v>250</v>
      </c>
      <c r="P41" s="21">
        <f t="shared" ref="P41:P44" si="2">+F41+H41+0.1</f>
        <v>1.6132</v>
      </c>
      <c r="Q41" s="21">
        <f t="shared" ref="Q41:Q44" si="3">P41*1.5</f>
        <v>2.4198</v>
      </c>
      <c r="R41" s="13"/>
      <c r="S41" s="14"/>
      <c r="T41" s="29"/>
      <c r="U41" s="14"/>
      <c r="V41" s="29"/>
    </row>
    <row r="42" spans="1:22" ht="13.5" customHeight="1">
      <c r="A42" s="169"/>
      <c r="B42" s="55" t="s">
        <v>307</v>
      </c>
      <c r="C42" s="178">
        <v>156468</v>
      </c>
      <c r="D42" s="53">
        <v>4.75</v>
      </c>
      <c r="E42" s="55">
        <v>10</v>
      </c>
      <c r="F42" s="134">
        <f>+INDEX(Especificaciones!$C$5:$C$25,MATCH('Flexible - D P8'!O42,Especificaciones!$B$5:$B$25,-1))</f>
        <v>0.2732</v>
      </c>
      <c r="G42" s="231">
        <v>2739.09</v>
      </c>
      <c r="H42" s="231">
        <v>1.43</v>
      </c>
      <c r="I42" s="53">
        <v>1</v>
      </c>
      <c r="J42" s="32">
        <f t="shared" si="0"/>
        <v>5.2342606149341142</v>
      </c>
      <c r="K42" s="135">
        <f t="shared" si="1"/>
        <v>7.8135199999999996</v>
      </c>
      <c r="L42" s="135" t="s">
        <v>17</v>
      </c>
      <c r="N42" s="38"/>
      <c r="O42" s="55">
        <v>250</v>
      </c>
      <c r="P42" s="21">
        <f t="shared" si="2"/>
        <v>1.8031999999999999</v>
      </c>
      <c r="Q42" s="21">
        <f t="shared" si="3"/>
        <v>2.7047999999999996</v>
      </c>
      <c r="R42" s="13"/>
      <c r="S42" s="14"/>
      <c r="T42" s="29"/>
      <c r="U42" s="14"/>
      <c r="V42" s="29"/>
    </row>
    <row r="43" spans="1:22" ht="13.5" customHeight="1">
      <c r="A43" s="169"/>
      <c r="B43" s="55" t="s">
        <v>308</v>
      </c>
      <c r="C43" s="178" t="s">
        <v>307</v>
      </c>
      <c r="D43" s="53">
        <v>8.6999999999999993</v>
      </c>
      <c r="E43" s="55">
        <v>10</v>
      </c>
      <c r="F43" s="134">
        <f>+INDEX(Especificaciones!$C$5:$C$25,MATCH('Flexible - D P8'!O43,Especificaciones!$B$5:$B$25,-1))</f>
        <v>0.2732</v>
      </c>
      <c r="G43" s="231">
        <v>2740.77</v>
      </c>
      <c r="H43" s="231">
        <v>1.4</v>
      </c>
      <c r="I43" s="53">
        <v>1</v>
      </c>
      <c r="J43" s="32">
        <f t="shared" si="0"/>
        <v>5.1244509516837482</v>
      </c>
      <c r="K43" s="135">
        <f t="shared" si="1"/>
        <v>7.6495999999999995</v>
      </c>
      <c r="L43" s="135" t="s">
        <v>17</v>
      </c>
      <c r="N43" s="38"/>
      <c r="O43" s="55">
        <v>250</v>
      </c>
      <c r="P43" s="21">
        <f t="shared" si="2"/>
        <v>1.7732000000000001</v>
      </c>
      <c r="Q43" s="21">
        <f t="shared" si="3"/>
        <v>2.6598000000000002</v>
      </c>
      <c r="R43" s="13"/>
      <c r="S43" s="14"/>
      <c r="T43" s="29"/>
      <c r="U43" s="14"/>
      <c r="V43" s="29"/>
    </row>
    <row r="44" spans="1:22" ht="13.5" customHeight="1">
      <c r="A44" s="169"/>
      <c r="B44" s="55" t="s">
        <v>309</v>
      </c>
      <c r="C44" s="178">
        <v>81031</v>
      </c>
      <c r="D44" s="53">
        <v>2</v>
      </c>
      <c r="E44" s="55">
        <v>10</v>
      </c>
      <c r="F44" s="134">
        <f>+INDEX(Especificaciones!$C$5:$C$25,MATCH('Flexible - D P8'!O44,Especificaciones!$B$5:$B$25,-1))</f>
        <v>0.2732</v>
      </c>
      <c r="G44" s="231">
        <v>2736.08</v>
      </c>
      <c r="H44" s="231">
        <v>1.04</v>
      </c>
      <c r="I44" s="53">
        <v>1</v>
      </c>
      <c r="J44" s="32">
        <f t="shared" si="0"/>
        <v>3.8067349926793561</v>
      </c>
      <c r="K44" s="135">
        <f t="shared" si="1"/>
        <v>5.6825600000000005</v>
      </c>
      <c r="L44" s="135" t="s">
        <v>17</v>
      </c>
      <c r="N44" s="38"/>
      <c r="O44" s="55">
        <v>250</v>
      </c>
      <c r="P44" s="21">
        <f t="shared" si="2"/>
        <v>1.4132000000000002</v>
      </c>
      <c r="Q44" s="21">
        <f t="shared" si="3"/>
        <v>2.1198000000000006</v>
      </c>
      <c r="R44" s="13"/>
      <c r="S44" s="14"/>
      <c r="T44" s="29"/>
      <c r="U44" s="14"/>
      <c r="V44" s="29"/>
    </row>
    <row r="45" spans="1:22">
      <c r="A45" s="199"/>
      <c r="B45" s="199"/>
      <c r="C45" s="35"/>
      <c r="D45" s="71"/>
      <c r="E45" s="36"/>
      <c r="F45" s="35"/>
      <c r="H45" s="35"/>
      <c r="I45" s="35"/>
      <c r="J45" s="60"/>
      <c r="K45" s="36"/>
      <c r="L45" s="36"/>
      <c r="M45" s="37"/>
      <c r="N45" s="38"/>
      <c r="O45" s="55"/>
      <c r="P45" s="21"/>
      <c r="Q45" s="21"/>
    </row>
    <row r="46" spans="1:22">
      <c r="A46" s="19" t="s">
        <v>18</v>
      </c>
      <c r="B46" s="39"/>
      <c r="C46" s="19"/>
      <c r="D46" s="19"/>
      <c r="E46" s="19"/>
      <c r="F46" s="19"/>
      <c r="G46" s="19"/>
      <c r="H46" s="19"/>
      <c r="I46" s="19"/>
      <c r="J46" s="19"/>
      <c r="K46" s="19"/>
      <c r="L46" s="19"/>
    </row>
    <row r="47" spans="1:22">
      <c r="A47" s="19"/>
      <c r="B47" s="19"/>
      <c r="C47" s="19"/>
      <c r="D47" s="19"/>
      <c r="E47" s="40"/>
      <c r="F47" s="20"/>
      <c r="G47" s="40"/>
      <c r="H47" s="19"/>
      <c r="I47" s="19"/>
      <c r="J47" s="19"/>
      <c r="K47" s="19"/>
      <c r="L47" s="19"/>
    </row>
    <row r="48" spans="1:22">
      <c r="A48" s="19"/>
      <c r="B48" s="19"/>
      <c r="C48" s="19"/>
      <c r="H48" s="19"/>
      <c r="I48" s="19"/>
      <c r="J48" s="19"/>
      <c r="K48" s="19"/>
      <c r="L48" s="19"/>
      <c r="O48" s="29"/>
    </row>
    <row r="49" spans="1:26">
      <c r="A49" s="19"/>
      <c r="B49" s="19"/>
      <c r="C49" s="19"/>
      <c r="H49" s="19"/>
      <c r="I49" s="19"/>
      <c r="J49" s="19"/>
      <c r="K49" s="19"/>
      <c r="L49" s="19"/>
    </row>
    <row r="50" spans="1:26">
      <c r="B50" s="19"/>
      <c r="C50" s="19"/>
      <c r="H50" s="19"/>
      <c r="I50" s="19"/>
      <c r="J50" s="19"/>
      <c r="K50" s="19"/>
      <c r="L50" s="19"/>
    </row>
    <row r="51" spans="1:26" s="31" customFormat="1" ht="11.25" customHeight="1">
      <c r="A51" s="19"/>
      <c r="B51" s="19"/>
      <c r="C51" s="19"/>
      <c r="D51" s="17" t="s">
        <v>2</v>
      </c>
      <c r="E51" s="19"/>
      <c r="F51" s="19"/>
      <c r="G51" s="19"/>
      <c r="H51" s="19"/>
      <c r="I51" s="19"/>
      <c r="J51" s="19"/>
      <c r="K51" s="19"/>
      <c r="L51" s="19"/>
      <c r="M51" s="17"/>
      <c r="N51" s="17"/>
      <c r="P51" s="17"/>
      <c r="Q51" s="17"/>
      <c r="R51" s="17"/>
      <c r="S51" s="17"/>
      <c r="T51" s="17"/>
      <c r="U51" s="17"/>
      <c r="W51" s="17"/>
      <c r="X51" s="17"/>
      <c r="Y51" s="17"/>
      <c r="Z51" s="17"/>
    </row>
    <row r="52" spans="1:26" s="31" customFormat="1" ht="16.5" customHeight="1">
      <c r="A52" s="19"/>
      <c r="B52" s="19"/>
      <c r="C52" s="19"/>
      <c r="D52" s="17"/>
      <c r="E52" s="40"/>
      <c r="F52" s="40"/>
      <c r="G52" s="40"/>
      <c r="H52" s="19"/>
      <c r="I52" s="19"/>
      <c r="J52" s="19"/>
      <c r="K52" s="19"/>
      <c r="L52" s="19"/>
      <c r="M52" s="17"/>
      <c r="N52" s="17"/>
      <c r="P52" s="17"/>
      <c r="Q52" s="17"/>
      <c r="R52" s="17"/>
      <c r="S52" s="17"/>
      <c r="T52" s="17"/>
      <c r="U52" s="17"/>
      <c r="W52" s="17"/>
      <c r="X52" s="17"/>
      <c r="Y52" s="17"/>
      <c r="Z52" s="17"/>
    </row>
    <row r="53" spans="1:26" s="31" customFormat="1" ht="18.75" customHeight="1">
      <c r="A53" s="19"/>
      <c r="B53" s="19"/>
      <c r="C53" s="19"/>
      <c r="D53" s="17"/>
      <c r="E53" s="40"/>
      <c r="F53" s="40"/>
      <c r="G53" s="40"/>
      <c r="H53" s="19"/>
      <c r="I53" s="19"/>
      <c r="J53" s="19"/>
      <c r="K53" s="19"/>
      <c r="L53" s="19"/>
      <c r="M53" s="17"/>
      <c r="N53" s="17"/>
      <c r="P53" s="17"/>
      <c r="Q53" s="17"/>
      <c r="R53" s="17"/>
      <c r="S53" s="17"/>
      <c r="T53" s="17"/>
      <c r="U53" s="17"/>
      <c r="W53" s="17"/>
      <c r="X53" s="17"/>
      <c r="Y53" s="17"/>
      <c r="Z53" s="17"/>
    </row>
    <row r="54" spans="1:26" s="31" customFormat="1" ht="18.75" customHeight="1">
      <c r="A54" s="19"/>
      <c r="B54" s="19"/>
      <c r="C54" s="19"/>
      <c r="D54" s="17"/>
      <c r="E54" s="40"/>
      <c r="F54" s="40"/>
      <c r="G54" s="40"/>
      <c r="H54" s="19"/>
      <c r="I54" s="19"/>
      <c r="J54" s="19"/>
      <c r="K54" s="19"/>
      <c r="L54" s="19"/>
      <c r="M54" s="17"/>
      <c r="N54" s="17"/>
      <c r="P54" s="17"/>
      <c r="Q54" s="17"/>
      <c r="R54" s="17"/>
      <c r="S54" s="17"/>
      <c r="T54" s="17"/>
      <c r="U54" s="17"/>
      <c r="W54" s="17"/>
      <c r="X54" s="17"/>
      <c r="Y54" s="17"/>
      <c r="Z54" s="17"/>
    </row>
    <row r="55" spans="1:26" s="31" customFormat="1" ht="12.75" customHeight="1">
      <c r="A55" s="19"/>
      <c r="B55" s="19"/>
      <c r="C55" s="19"/>
      <c r="D55" s="19"/>
      <c r="E55" s="40"/>
      <c r="F55" s="40"/>
      <c r="G55" s="40"/>
      <c r="H55" s="19"/>
      <c r="I55" s="19"/>
      <c r="J55" s="19"/>
      <c r="K55" s="19"/>
      <c r="L55" s="19"/>
      <c r="M55" s="17"/>
      <c r="N55" s="17"/>
      <c r="P55" s="17"/>
      <c r="Q55" s="17"/>
      <c r="R55" s="17"/>
      <c r="S55" s="17"/>
      <c r="T55" s="17"/>
      <c r="U55" s="17"/>
      <c r="W55" s="17"/>
      <c r="X55" s="17"/>
      <c r="Y55" s="17"/>
      <c r="Z55" s="17"/>
    </row>
    <row r="56" spans="1:26" s="31" customFormat="1" ht="15" customHeight="1">
      <c r="A56" s="19"/>
      <c r="B56" s="19"/>
      <c r="C56" s="19"/>
      <c r="D56" s="19"/>
      <c r="E56" s="40"/>
      <c r="F56" s="40"/>
      <c r="G56" s="40"/>
      <c r="H56" s="19"/>
      <c r="I56" s="19"/>
      <c r="J56" s="19"/>
      <c r="K56" s="19"/>
      <c r="L56" s="19"/>
      <c r="M56" s="17"/>
      <c r="N56" s="17"/>
      <c r="P56" s="17"/>
      <c r="Q56" s="17"/>
      <c r="R56" s="17"/>
      <c r="S56" s="17"/>
      <c r="T56" s="17"/>
      <c r="U56" s="17"/>
      <c r="W56" s="17"/>
      <c r="X56" s="17"/>
      <c r="Y56" s="17"/>
      <c r="Z56" s="17"/>
    </row>
    <row r="57" spans="1:26" ht="7.5" customHeight="1">
      <c r="A57" s="19"/>
      <c r="B57" s="19"/>
      <c r="C57" s="19"/>
      <c r="D57" s="19"/>
      <c r="E57" s="40"/>
      <c r="F57" s="40"/>
      <c r="G57" s="40"/>
      <c r="H57" s="19"/>
      <c r="I57" s="19"/>
      <c r="J57" s="19"/>
      <c r="K57" s="19"/>
      <c r="L57" s="19"/>
      <c r="M57" s="19"/>
    </row>
    <row r="58" spans="1:26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</row>
    <row r="59" spans="1:26">
      <c r="A59" s="17" t="s">
        <v>19</v>
      </c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</row>
    <row r="60" spans="1:26"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</row>
    <row r="61" spans="1:26">
      <c r="C61" s="139" t="s">
        <v>20</v>
      </c>
      <c r="D61" s="41">
        <v>80</v>
      </c>
      <c r="F61" s="19"/>
      <c r="G61" s="19"/>
      <c r="H61" s="19"/>
      <c r="I61" s="19"/>
      <c r="J61" s="19"/>
      <c r="K61" s="19"/>
      <c r="L61" s="19"/>
      <c r="M61" s="19"/>
    </row>
    <row r="62" spans="1:26">
      <c r="C62" s="295" t="s">
        <v>21</v>
      </c>
      <c r="D62" s="4">
        <v>1.2</v>
      </c>
      <c r="E62" s="1" t="s">
        <v>174</v>
      </c>
      <c r="F62" s="19"/>
      <c r="G62" s="19"/>
      <c r="H62" s="19"/>
      <c r="I62" s="19"/>
      <c r="J62" s="19"/>
      <c r="K62" s="19"/>
      <c r="L62" s="19"/>
      <c r="M62" s="19"/>
    </row>
    <row r="63" spans="1:26">
      <c r="C63" s="296"/>
      <c r="D63" s="4">
        <v>1.1000000000000001</v>
      </c>
      <c r="E63" s="1" t="s">
        <v>22</v>
      </c>
      <c r="F63" s="19"/>
      <c r="G63" s="19"/>
      <c r="H63" s="19"/>
      <c r="I63" s="19"/>
      <c r="J63" s="19"/>
      <c r="K63" s="19"/>
      <c r="L63" s="19"/>
      <c r="M63" s="19"/>
    </row>
    <row r="64" spans="1:26">
      <c r="C64" s="297"/>
      <c r="D64" s="42">
        <v>1</v>
      </c>
      <c r="E64" s="1" t="s">
        <v>175</v>
      </c>
      <c r="M64" s="19"/>
    </row>
    <row r="65" spans="1:26">
      <c r="M65" s="19"/>
    </row>
    <row r="66" spans="1:26" s="31" customFormat="1" ht="30" customHeight="1">
      <c r="A66" s="168"/>
      <c r="B66" s="138" t="str">
        <f>B$40</f>
        <v>Pozo de</v>
      </c>
      <c r="C66" s="202" t="str">
        <f>C$40</f>
        <v>Pozo a</v>
      </c>
      <c r="D66" s="202" t="s">
        <v>130</v>
      </c>
      <c r="E66" s="202" t="s">
        <v>209</v>
      </c>
      <c r="F66" s="202" t="s">
        <v>204</v>
      </c>
      <c r="G66" s="204" t="s">
        <v>134</v>
      </c>
      <c r="H66" s="202" t="s">
        <v>205</v>
      </c>
      <c r="I66" s="202" t="s">
        <v>224</v>
      </c>
      <c r="J66" s="202" t="s">
        <v>225</v>
      </c>
      <c r="K66" s="202" t="s">
        <v>210</v>
      </c>
      <c r="L66" s="202" t="s">
        <v>211</v>
      </c>
      <c r="N66" s="200" t="s">
        <v>23</v>
      </c>
      <c r="W66" s="17"/>
      <c r="X66" s="17"/>
    </row>
    <row r="67" spans="1:26" s="74" customFormat="1" ht="12" customHeight="1">
      <c r="A67" s="169"/>
      <c r="B67" s="140" t="str">
        <f t="shared" ref="B67:F70" si="4">+B41</f>
        <v>CR-07</v>
      </c>
      <c r="C67" s="140" t="str">
        <f t="shared" si="4"/>
        <v>CR-08</v>
      </c>
      <c r="D67" s="135">
        <f t="shared" si="4"/>
        <v>7.3</v>
      </c>
      <c r="E67" s="95">
        <f t="shared" si="4"/>
        <v>10</v>
      </c>
      <c r="F67" s="135">
        <f t="shared" si="4"/>
        <v>0.2732</v>
      </c>
      <c r="G67" s="135">
        <f t="shared" ref="G67:H70" si="5">+H41</f>
        <v>1.24</v>
      </c>
      <c r="H67" s="135">
        <f t="shared" si="5"/>
        <v>1</v>
      </c>
      <c r="I67" s="135">
        <f t="shared" ref="I67:I70" si="6">0.5+1.75*G67</f>
        <v>2.67</v>
      </c>
      <c r="J67" s="135">
        <f t="shared" ref="J67:J70" si="7">0.25+1.75*G67</f>
        <v>2.42</v>
      </c>
      <c r="K67" s="135">
        <f t="shared" ref="K67:K70" si="8">I67+1.75*(3*F67/4)</f>
        <v>3.028575</v>
      </c>
      <c r="L67" s="96">
        <f t="shared" ref="L67:L70" si="9">$D$61*CHOOSE(N67,$D$62,$D$63,$D$64)/K67</f>
        <v>26.415063189783975</v>
      </c>
      <c r="M67" s="17"/>
      <c r="N67" s="75">
        <f t="shared" ref="N67:N70" si="10">IF(G67&lt;0.6,1,IF(G67&lt;0.91,2,3))</f>
        <v>3</v>
      </c>
    </row>
    <row r="68" spans="1:26" s="74" customFormat="1" ht="12" customHeight="1">
      <c r="A68" s="169"/>
      <c r="B68" s="140" t="str">
        <f t="shared" si="4"/>
        <v>CR-08</v>
      </c>
      <c r="C68" s="140">
        <f t="shared" si="4"/>
        <v>156468</v>
      </c>
      <c r="D68" s="135">
        <f t="shared" si="4"/>
        <v>4.75</v>
      </c>
      <c r="E68" s="95">
        <f t="shared" si="4"/>
        <v>10</v>
      </c>
      <c r="F68" s="135">
        <f t="shared" si="4"/>
        <v>0.2732</v>
      </c>
      <c r="G68" s="135">
        <f t="shared" si="5"/>
        <v>1.43</v>
      </c>
      <c r="H68" s="135">
        <f t="shared" si="5"/>
        <v>1</v>
      </c>
      <c r="I68" s="135">
        <f t="shared" si="6"/>
        <v>3.0024999999999999</v>
      </c>
      <c r="J68" s="135">
        <f t="shared" si="7"/>
        <v>2.7524999999999999</v>
      </c>
      <c r="K68" s="135">
        <f t="shared" si="8"/>
        <v>3.361075</v>
      </c>
      <c r="L68" s="96">
        <f t="shared" si="9"/>
        <v>23.801908615547109</v>
      </c>
      <c r="M68" s="17"/>
      <c r="N68" s="75">
        <f t="shared" si="10"/>
        <v>3</v>
      </c>
    </row>
    <row r="69" spans="1:26" s="74" customFormat="1" ht="12" customHeight="1">
      <c r="A69" s="169"/>
      <c r="B69" s="140" t="str">
        <f t="shared" si="4"/>
        <v>CR-06</v>
      </c>
      <c r="C69" s="140" t="str">
        <f t="shared" si="4"/>
        <v>CR-08</v>
      </c>
      <c r="D69" s="135">
        <f t="shared" si="4"/>
        <v>8.6999999999999993</v>
      </c>
      <c r="E69" s="95">
        <f t="shared" si="4"/>
        <v>10</v>
      </c>
      <c r="F69" s="135">
        <f t="shared" si="4"/>
        <v>0.2732</v>
      </c>
      <c r="G69" s="135">
        <f t="shared" si="5"/>
        <v>1.4</v>
      </c>
      <c r="H69" s="135">
        <f t="shared" si="5"/>
        <v>1</v>
      </c>
      <c r="I69" s="135">
        <f t="shared" si="6"/>
        <v>2.9499999999999997</v>
      </c>
      <c r="J69" s="135">
        <f t="shared" si="7"/>
        <v>2.6999999999999997</v>
      </c>
      <c r="K69" s="135">
        <f t="shared" si="8"/>
        <v>3.3085749999999998</v>
      </c>
      <c r="L69" s="96">
        <f t="shared" si="9"/>
        <v>24.179593933944375</v>
      </c>
      <c r="M69" s="17"/>
      <c r="N69" s="75">
        <f t="shared" si="10"/>
        <v>3</v>
      </c>
    </row>
    <row r="70" spans="1:26" s="74" customFormat="1" ht="12" customHeight="1">
      <c r="A70" s="169"/>
      <c r="B70" s="140" t="str">
        <f t="shared" si="4"/>
        <v>CR-09</v>
      </c>
      <c r="C70" s="140">
        <f t="shared" si="4"/>
        <v>81031</v>
      </c>
      <c r="D70" s="135">
        <f t="shared" si="4"/>
        <v>2</v>
      </c>
      <c r="E70" s="95">
        <f t="shared" si="4"/>
        <v>10</v>
      </c>
      <c r="F70" s="135">
        <f t="shared" si="4"/>
        <v>0.2732</v>
      </c>
      <c r="G70" s="135">
        <f t="shared" si="5"/>
        <v>1.04</v>
      </c>
      <c r="H70" s="135">
        <f t="shared" si="5"/>
        <v>1</v>
      </c>
      <c r="I70" s="135">
        <f t="shared" si="6"/>
        <v>2.3200000000000003</v>
      </c>
      <c r="J70" s="135">
        <f t="shared" si="7"/>
        <v>2.0700000000000003</v>
      </c>
      <c r="K70" s="135">
        <f t="shared" si="8"/>
        <v>2.6785750000000004</v>
      </c>
      <c r="L70" s="96">
        <f t="shared" si="9"/>
        <v>29.866626844497535</v>
      </c>
      <c r="M70" s="17"/>
      <c r="N70" s="75">
        <f t="shared" si="10"/>
        <v>3</v>
      </c>
    </row>
    <row r="71" spans="1:26" s="74" customFormat="1" ht="11.25">
      <c r="E71" s="77"/>
      <c r="F71" s="78"/>
      <c r="G71" s="79"/>
      <c r="H71" s="79"/>
      <c r="I71" s="80"/>
      <c r="J71" s="80"/>
      <c r="K71" s="80"/>
    </row>
    <row r="72" spans="1:26">
      <c r="A72" s="19" t="s">
        <v>24</v>
      </c>
      <c r="D72" s="37"/>
      <c r="E72" s="30"/>
      <c r="F72" s="43"/>
      <c r="G72" s="43"/>
      <c r="H72" s="36"/>
      <c r="I72" s="36"/>
      <c r="J72" s="36"/>
    </row>
    <row r="73" spans="1:26">
      <c r="D73" s="37"/>
      <c r="E73" s="30"/>
      <c r="F73" s="43"/>
      <c r="G73" s="43"/>
      <c r="H73" s="36"/>
      <c r="I73" s="36"/>
      <c r="J73" s="36"/>
    </row>
    <row r="74" spans="1:26">
      <c r="A74" s="298" t="s">
        <v>116</v>
      </c>
      <c r="B74" s="298"/>
      <c r="C74" s="298"/>
      <c r="D74" s="298"/>
      <c r="E74" s="298"/>
      <c r="F74" s="298"/>
      <c r="G74" s="298"/>
      <c r="H74" s="298"/>
      <c r="I74" s="298"/>
      <c r="J74" s="298"/>
      <c r="K74" s="298"/>
      <c r="L74" s="298"/>
      <c r="M74" s="298"/>
    </row>
    <row r="75" spans="1:26">
      <c r="A75" s="298"/>
      <c r="B75" s="298"/>
      <c r="C75" s="298"/>
      <c r="D75" s="298"/>
      <c r="E75" s="298"/>
      <c r="F75" s="298"/>
      <c r="G75" s="298"/>
      <c r="H75" s="298"/>
      <c r="I75" s="298"/>
      <c r="J75" s="298"/>
      <c r="K75" s="298"/>
      <c r="L75" s="298"/>
      <c r="M75" s="298"/>
    </row>
    <row r="76" spans="1:26">
      <c r="D76" s="37"/>
      <c r="E76" s="30"/>
      <c r="F76" s="43"/>
      <c r="G76" s="43"/>
      <c r="H76" s="36"/>
      <c r="I76" s="36"/>
      <c r="J76" s="36"/>
    </row>
    <row r="77" spans="1:26">
      <c r="D77" s="37"/>
      <c r="E77" s="30"/>
      <c r="F77" s="43"/>
      <c r="G77" s="43"/>
      <c r="H77" s="36"/>
      <c r="I77" s="36"/>
      <c r="J77" s="36"/>
      <c r="P77" s="19"/>
      <c r="Q77" s="19"/>
      <c r="R77" s="19"/>
      <c r="S77" s="19"/>
      <c r="T77" s="19"/>
      <c r="U77" s="19"/>
      <c r="V77" s="19"/>
      <c r="Y77" s="19"/>
      <c r="Z77" s="19"/>
    </row>
    <row r="78" spans="1:26">
      <c r="D78" s="37"/>
      <c r="E78" s="30"/>
      <c r="F78" s="43"/>
      <c r="G78" s="43"/>
      <c r="H78" s="36"/>
      <c r="I78" s="36"/>
      <c r="J78" s="36"/>
      <c r="P78" s="19"/>
      <c r="Q78" s="19"/>
      <c r="R78" s="19"/>
      <c r="S78" s="19"/>
      <c r="T78" s="19"/>
      <c r="U78" s="19"/>
      <c r="V78" s="19"/>
      <c r="Y78" s="19"/>
      <c r="Z78" s="19"/>
    </row>
    <row r="79" spans="1:26">
      <c r="D79" s="37"/>
      <c r="E79" s="30"/>
      <c r="F79" s="43"/>
      <c r="G79" s="43"/>
      <c r="H79" s="36"/>
      <c r="I79" s="36"/>
      <c r="J79" s="36"/>
      <c r="P79" s="19"/>
      <c r="Q79" s="19"/>
      <c r="R79" s="19"/>
      <c r="S79" s="19"/>
      <c r="T79" s="19"/>
      <c r="U79" s="19"/>
      <c r="V79" s="19"/>
      <c r="Y79" s="19"/>
      <c r="Z79" s="19"/>
    </row>
    <row r="80" spans="1:26">
      <c r="D80" s="37"/>
      <c r="E80" s="30"/>
      <c r="F80" s="43"/>
      <c r="G80" s="43"/>
      <c r="H80" s="36"/>
      <c r="I80" s="36"/>
      <c r="J80" s="36"/>
      <c r="P80" s="19"/>
      <c r="Q80" s="19"/>
      <c r="R80" s="19"/>
      <c r="S80" s="19"/>
      <c r="T80" s="19"/>
      <c r="U80" s="19"/>
      <c r="V80" s="19"/>
      <c r="Y80" s="19"/>
      <c r="Z80" s="19"/>
    </row>
    <row r="81" spans="1:240">
      <c r="A81" s="17" t="s">
        <v>2</v>
      </c>
      <c r="D81" s="37"/>
      <c r="E81" s="30"/>
      <c r="F81" s="43"/>
      <c r="G81" s="43"/>
      <c r="H81" s="36"/>
      <c r="I81" s="36"/>
      <c r="J81" s="36"/>
      <c r="P81" s="19"/>
      <c r="Q81" s="19"/>
      <c r="R81" s="19"/>
      <c r="S81" s="19"/>
      <c r="T81" s="19"/>
      <c r="U81" s="19"/>
      <c r="V81" s="19"/>
      <c r="Y81" s="19"/>
      <c r="Z81" s="19"/>
    </row>
    <row r="82" spans="1:240">
      <c r="C82" s="44" t="s">
        <v>100</v>
      </c>
      <c r="D82" s="45" t="s">
        <v>25</v>
      </c>
      <c r="E82" s="30"/>
      <c r="F82" s="43"/>
      <c r="G82" s="43"/>
      <c r="H82" s="36"/>
      <c r="I82" s="36"/>
      <c r="J82" s="36"/>
      <c r="O82" s="72"/>
      <c r="P82" s="154"/>
      <c r="Q82" s="154"/>
      <c r="R82" s="154"/>
      <c r="S82" s="19"/>
      <c r="T82" s="19"/>
      <c r="U82" s="19"/>
      <c r="V82" s="19"/>
      <c r="Y82" s="19"/>
      <c r="Z82" s="19"/>
    </row>
    <row r="83" spans="1:240">
      <c r="C83" s="44" t="s">
        <v>101</v>
      </c>
      <c r="D83" s="45" t="s">
        <v>27</v>
      </c>
      <c r="E83" s="30"/>
      <c r="F83" s="43"/>
      <c r="G83" s="43"/>
      <c r="H83" s="36"/>
      <c r="I83" s="36"/>
      <c r="J83" s="36"/>
      <c r="O83" s="199"/>
      <c r="P83" s="155"/>
      <c r="Q83" s="154"/>
      <c r="R83" s="154"/>
      <c r="S83" s="19"/>
      <c r="T83" s="19"/>
      <c r="U83" s="19"/>
      <c r="V83" s="19"/>
      <c r="W83" s="19"/>
      <c r="X83" s="19"/>
      <c r="Y83" s="19"/>
      <c r="Z83" s="19"/>
    </row>
    <row r="84" spans="1:240">
      <c r="C84" s="17" t="s">
        <v>26</v>
      </c>
      <c r="D84" s="45" t="s">
        <v>76</v>
      </c>
      <c r="E84" s="30"/>
      <c r="F84" s="43"/>
      <c r="G84" s="43"/>
      <c r="H84" s="36"/>
      <c r="I84" s="36"/>
      <c r="J84" s="36"/>
      <c r="O84" s="72"/>
      <c r="P84" s="155"/>
      <c r="Q84" s="154"/>
      <c r="R84" s="154"/>
      <c r="S84" s="19"/>
      <c r="T84" s="19"/>
      <c r="U84" s="19"/>
      <c r="V84" s="19"/>
      <c r="W84" s="19"/>
      <c r="X84" s="19"/>
      <c r="Y84" s="19"/>
      <c r="Z84" s="19"/>
    </row>
    <row r="85" spans="1:240" ht="13.5">
      <c r="C85" s="46" t="s">
        <v>102</v>
      </c>
      <c r="D85" s="45" t="s">
        <v>28</v>
      </c>
      <c r="E85" s="30"/>
      <c r="F85" s="43"/>
      <c r="G85" s="43"/>
      <c r="H85" s="36"/>
      <c r="I85" s="36"/>
      <c r="J85" s="36"/>
      <c r="O85" s="72"/>
      <c r="P85" s="155"/>
      <c r="Q85" s="154"/>
      <c r="R85" s="154"/>
    </row>
    <row r="86" spans="1:240">
      <c r="C86" s="17" t="s">
        <v>29</v>
      </c>
      <c r="D86" s="45" t="s">
        <v>30</v>
      </c>
      <c r="E86" s="30"/>
      <c r="F86" s="43"/>
      <c r="G86" s="43"/>
      <c r="H86" s="36"/>
      <c r="I86" s="36"/>
      <c r="J86" s="36"/>
      <c r="O86" s="72"/>
      <c r="P86" s="72"/>
      <c r="Q86" s="72"/>
      <c r="R86" s="72"/>
    </row>
    <row r="87" spans="1:240">
      <c r="C87" s="17" t="s">
        <v>31</v>
      </c>
      <c r="D87" s="45" t="s">
        <v>32</v>
      </c>
      <c r="E87" s="30"/>
      <c r="F87" s="43"/>
      <c r="G87" s="43"/>
      <c r="H87" s="36"/>
      <c r="I87" s="36"/>
      <c r="J87" s="36"/>
      <c r="O87" s="72"/>
      <c r="P87" s="72"/>
      <c r="Q87" s="72"/>
      <c r="R87" s="72"/>
      <c r="S87" s="301" t="s">
        <v>50</v>
      </c>
      <c r="T87" s="301" t="s">
        <v>51</v>
      </c>
      <c r="U87" s="301"/>
      <c r="V87" s="301"/>
      <c r="W87" s="301"/>
      <c r="X87" s="301"/>
      <c r="Y87" s="301"/>
      <c r="Z87" s="301"/>
      <c r="AA87" s="301"/>
    </row>
    <row r="88" spans="1:240">
      <c r="D88" s="45" t="s">
        <v>33</v>
      </c>
      <c r="E88" s="30"/>
      <c r="F88" s="43"/>
      <c r="G88" s="43"/>
      <c r="H88" s="36"/>
      <c r="I88" s="36"/>
      <c r="J88" s="36"/>
      <c r="O88" s="19"/>
      <c r="S88" s="301"/>
      <c r="T88" s="116">
        <v>1.25</v>
      </c>
      <c r="U88" s="116">
        <v>1.5</v>
      </c>
      <c r="V88" s="116">
        <v>1.75</v>
      </c>
      <c r="W88" s="116">
        <v>2</v>
      </c>
      <c r="X88" s="116">
        <v>2.5</v>
      </c>
      <c r="Y88" s="116">
        <v>3</v>
      </c>
      <c r="Z88" s="116">
        <v>4</v>
      </c>
      <c r="AA88" s="116">
        <v>5</v>
      </c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  <c r="HO88" s="19"/>
      <c r="HP88" s="19"/>
      <c r="HQ88" s="19"/>
      <c r="HR88" s="19"/>
      <c r="HS88" s="19"/>
      <c r="HT88" s="19"/>
      <c r="HU88" s="19"/>
      <c r="HV88" s="19"/>
      <c r="HW88" s="19"/>
      <c r="HX88" s="19"/>
      <c r="HY88" s="19"/>
      <c r="HZ88" s="19"/>
      <c r="IA88" s="19"/>
      <c r="IB88" s="19"/>
      <c r="IC88" s="19"/>
      <c r="ID88" s="19"/>
      <c r="IE88" s="19"/>
      <c r="IF88" s="19"/>
    </row>
    <row r="89" spans="1:240">
      <c r="C89" s="17" t="s">
        <v>34</v>
      </c>
      <c r="D89" s="45" t="s">
        <v>35</v>
      </c>
      <c r="E89" s="30"/>
      <c r="F89" s="43"/>
      <c r="G89" s="43"/>
      <c r="H89" s="36"/>
      <c r="I89" s="36"/>
      <c r="J89" s="36"/>
      <c r="O89" s="19"/>
      <c r="S89" s="196">
        <v>5.0000000000000001E-3</v>
      </c>
      <c r="T89" s="21">
        <v>0.02</v>
      </c>
      <c r="U89" s="21">
        <v>0.05</v>
      </c>
      <c r="V89" s="21">
        <v>0.08</v>
      </c>
      <c r="W89" s="21">
        <v>0.12</v>
      </c>
      <c r="X89" s="21">
        <v>0.23</v>
      </c>
      <c r="Y89" s="21">
        <v>0.43</v>
      </c>
      <c r="Z89" s="21">
        <v>0.72</v>
      </c>
      <c r="AA89" s="21">
        <v>1</v>
      </c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</row>
    <row r="90" spans="1:240">
      <c r="C90" s="17" t="s">
        <v>36</v>
      </c>
      <c r="D90" s="45" t="s">
        <v>37</v>
      </c>
      <c r="E90" s="30"/>
      <c r="F90" s="43"/>
      <c r="G90" s="43"/>
      <c r="H90" s="36"/>
      <c r="I90" s="36"/>
      <c r="J90" s="36"/>
      <c r="O90" s="19"/>
      <c r="S90" s="196">
        <v>0.01</v>
      </c>
      <c r="T90" s="21">
        <v>0.03</v>
      </c>
      <c r="U90" s="21">
        <v>7.0000000000000007E-2</v>
      </c>
      <c r="V90" s="21">
        <v>0.11</v>
      </c>
      <c r="W90" s="21">
        <v>0.15</v>
      </c>
      <c r="X90" s="21">
        <v>0.27</v>
      </c>
      <c r="Y90" s="21">
        <v>0.47</v>
      </c>
      <c r="Z90" s="21">
        <v>0.74</v>
      </c>
      <c r="AA90" s="21">
        <v>1</v>
      </c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</row>
    <row r="91" spans="1:240" ht="13.5">
      <c r="C91" s="17" t="s">
        <v>38</v>
      </c>
      <c r="D91" s="45" t="s">
        <v>103</v>
      </c>
      <c r="E91" s="30"/>
      <c r="F91" s="43"/>
      <c r="G91" s="43"/>
      <c r="H91" s="36"/>
      <c r="I91" s="36"/>
      <c r="J91" s="36"/>
      <c r="O91" s="19"/>
      <c r="S91" s="196">
        <v>0.02</v>
      </c>
      <c r="T91" s="21">
        <v>0.05</v>
      </c>
      <c r="U91" s="21">
        <v>0.1</v>
      </c>
      <c r="V91" s="21">
        <v>0.15</v>
      </c>
      <c r="W91" s="21">
        <v>0.2</v>
      </c>
      <c r="X91" s="21">
        <v>0.32</v>
      </c>
      <c r="Y91" s="21">
        <v>0.52</v>
      </c>
      <c r="Z91" s="21">
        <v>0.77</v>
      </c>
      <c r="AA91" s="21">
        <v>1</v>
      </c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  <c r="HY91" s="19"/>
      <c r="HZ91" s="19"/>
      <c r="IA91" s="19"/>
      <c r="IB91" s="19"/>
      <c r="IC91" s="19"/>
      <c r="ID91" s="19"/>
      <c r="IE91" s="19"/>
    </row>
    <row r="92" spans="1:240">
      <c r="C92" s="17" t="s">
        <v>39</v>
      </c>
      <c r="D92" s="45" t="s">
        <v>40</v>
      </c>
      <c r="E92" s="30"/>
      <c r="F92" s="43"/>
      <c r="G92" s="43"/>
      <c r="H92" s="36"/>
      <c r="I92" s="36"/>
      <c r="J92" s="36"/>
      <c r="O92" s="19"/>
      <c r="S92" s="196">
        <v>0.05</v>
      </c>
      <c r="T92" s="21">
        <v>0.1</v>
      </c>
      <c r="U92" s="21">
        <v>0.15</v>
      </c>
      <c r="V92" s="21">
        <v>0.2</v>
      </c>
      <c r="W92" s="21">
        <v>0.27</v>
      </c>
      <c r="X92" s="21">
        <v>0.38</v>
      </c>
      <c r="Y92" s="21">
        <v>0.57999999999999996</v>
      </c>
      <c r="Z92" s="21">
        <v>0.8</v>
      </c>
      <c r="AA92" s="21">
        <v>1</v>
      </c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  <c r="HM92" s="19"/>
      <c r="HN92" s="19"/>
      <c r="HO92" s="19"/>
      <c r="HP92" s="19"/>
      <c r="HQ92" s="19"/>
      <c r="HR92" s="19"/>
      <c r="HS92" s="19"/>
      <c r="HT92" s="19"/>
      <c r="HU92" s="19"/>
      <c r="HV92" s="19"/>
      <c r="HW92" s="19"/>
      <c r="HX92" s="19"/>
      <c r="HY92" s="19"/>
      <c r="HZ92" s="19"/>
      <c r="IA92" s="19"/>
      <c r="IB92" s="19"/>
      <c r="IC92" s="19"/>
      <c r="ID92" s="19"/>
      <c r="IE92" s="19"/>
      <c r="IF92" s="19"/>
    </row>
    <row r="93" spans="1:240">
      <c r="D93" s="45" t="s">
        <v>199</v>
      </c>
      <c r="E93" s="30"/>
      <c r="F93" s="43"/>
      <c r="G93" s="43"/>
      <c r="H93" s="36"/>
      <c r="I93" s="36"/>
      <c r="J93" s="36"/>
      <c r="O93" s="19"/>
      <c r="S93" s="115">
        <v>0.1</v>
      </c>
      <c r="T93" s="21">
        <v>0.15</v>
      </c>
      <c r="U93" s="21">
        <v>0.2</v>
      </c>
      <c r="V93" s="21">
        <v>0.27</v>
      </c>
      <c r="W93" s="21">
        <v>0.35</v>
      </c>
      <c r="X93" s="21">
        <v>0.46</v>
      </c>
      <c r="Y93" s="21">
        <v>0.65</v>
      </c>
      <c r="Z93" s="21">
        <v>0.84</v>
      </c>
      <c r="AA93" s="21">
        <v>1</v>
      </c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</row>
    <row r="94" spans="1:240">
      <c r="D94" s="45" t="s">
        <v>200</v>
      </c>
      <c r="E94" s="30"/>
      <c r="F94" s="43"/>
      <c r="G94" s="43"/>
      <c r="H94" s="36"/>
      <c r="I94" s="36"/>
      <c r="J94" s="36"/>
      <c r="O94" s="19"/>
      <c r="S94" s="115">
        <v>0.2</v>
      </c>
      <c r="T94" s="21">
        <v>0.25</v>
      </c>
      <c r="U94" s="21">
        <v>0.3</v>
      </c>
      <c r="V94" s="21">
        <v>0.38</v>
      </c>
      <c r="W94" s="21">
        <v>0.47</v>
      </c>
      <c r="X94" s="21">
        <v>0.57999999999999996</v>
      </c>
      <c r="Y94" s="21">
        <v>0.75</v>
      </c>
      <c r="Z94" s="21">
        <v>0.88</v>
      </c>
      <c r="AA94" s="21">
        <v>1</v>
      </c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  <c r="HO94" s="19"/>
      <c r="HP94" s="19"/>
      <c r="HQ94" s="19"/>
      <c r="HR94" s="19"/>
      <c r="HS94" s="19"/>
      <c r="HT94" s="19"/>
      <c r="HU94" s="19"/>
      <c r="HV94" s="19"/>
      <c r="HW94" s="19"/>
      <c r="HX94" s="19"/>
      <c r="HY94" s="19"/>
      <c r="HZ94" s="19"/>
      <c r="IA94" s="19"/>
      <c r="IB94" s="19"/>
      <c r="IC94" s="19"/>
      <c r="ID94" s="19"/>
      <c r="IE94" s="19"/>
      <c r="IF94" s="19"/>
    </row>
    <row r="95" spans="1:240">
      <c r="D95" s="45" t="s">
        <v>201</v>
      </c>
      <c r="E95" s="30"/>
      <c r="F95" s="43"/>
      <c r="G95" s="43"/>
      <c r="H95" s="36"/>
      <c r="I95" s="36"/>
      <c r="J95" s="36"/>
      <c r="O95" s="19"/>
      <c r="S95" s="115">
        <v>0.4</v>
      </c>
      <c r="T95" s="21">
        <v>0.45</v>
      </c>
      <c r="U95" s="21">
        <v>0.5</v>
      </c>
      <c r="V95" s="21">
        <v>0.56000000000000005</v>
      </c>
      <c r="W95" s="21">
        <v>0.64</v>
      </c>
      <c r="X95" s="21">
        <v>0.75</v>
      </c>
      <c r="Y95" s="21">
        <v>0.85</v>
      </c>
      <c r="Z95" s="21">
        <v>0.93</v>
      </c>
      <c r="AA95" s="21">
        <v>1</v>
      </c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  <c r="HK95" s="19"/>
      <c r="HL95" s="19"/>
      <c r="HM95" s="19"/>
      <c r="HN95" s="19"/>
      <c r="HO95" s="19"/>
      <c r="HP95" s="19"/>
      <c r="HQ95" s="19"/>
      <c r="HR95" s="19"/>
      <c r="HS95" s="19"/>
      <c r="HT95" s="19"/>
      <c r="HU95" s="19"/>
      <c r="HV95" s="19"/>
      <c r="HW95" s="19"/>
      <c r="HX95" s="19"/>
      <c r="HY95" s="19"/>
      <c r="HZ95" s="19"/>
      <c r="IA95" s="19"/>
      <c r="IB95" s="19"/>
      <c r="IC95" s="19"/>
      <c r="ID95" s="19"/>
      <c r="IE95" s="19"/>
      <c r="IF95" s="19"/>
    </row>
    <row r="96" spans="1:240">
      <c r="D96" s="45"/>
      <c r="E96" s="30"/>
      <c r="F96" s="43"/>
      <c r="G96" s="43"/>
      <c r="H96" s="36"/>
      <c r="I96" s="36"/>
      <c r="J96" s="36"/>
      <c r="O96" s="19"/>
      <c r="S96" s="115">
        <v>0.6</v>
      </c>
      <c r="T96" s="21">
        <v>0.65</v>
      </c>
      <c r="U96" s="21">
        <v>0.7</v>
      </c>
      <c r="V96" s="21">
        <v>0.75</v>
      </c>
      <c r="W96" s="21">
        <v>0.81</v>
      </c>
      <c r="X96" s="21">
        <v>0.87</v>
      </c>
      <c r="Y96" s="21">
        <v>0.94</v>
      </c>
      <c r="Z96" s="21">
        <v>0.98</v>
      </c>
      <c r="AA96" s="21">
        <v>1</v>
      </c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  <c r="HK96" s="19"/>
      <c r="HL96" s="19"/>
      <c r="HM96" s="19"/>
      <c r="HN96" s="19"/>
      <c r="HO96" s="19"/>
      <c r="HP96" s="19"/>
      <c r="HQ96" s="19"/>
      <c r="HR96" s="19"/>
      <c r="HS96" s="19"/>
      <c r="HT96" s="19"/>
      <c r="HU96" s="19"/>
      <c r="HV96" s="19"/>
      <c r="HW96" s="19"/>
      <c r="HX96" s="19"/>
      <c r="HY96" s="19"/>
      <c r="HZ96" s="19"/>
      <c r="IA96" s="19"/>
      <c r="IB96" s="19"/>
      <c r="IC96" s="19"/>
      <c r="ID96" s="19"/>
      <c r="IE96" s="19"/>
      <c r="IF96" s="19"/>
    </row>
    <row r="97" spans="1:240">
      <c r="D97" s="37"/>
      <c r="E97" s="30"/>
      <c r="F97" s="43"/>
      <c r="G97" s="43"/>
      <c r="H97" s="36"/>
      <c r="I97" s="36"/>
      <c r="J97" s="36"/>
      <c r="O97" s="196" t="s">
        <v>198</v>
      </c>
      <c r="P97" s="196" t="s">
        <v>46</v>
      </c>
      <c r="Q97" s="196" t="s">
        <v>197</v>
      </c>
      <c r="S97" s="115">
        <v>0.8</v>
      </c>
      <c r="T97" s="21">
        <v>0.84</v>
      </c>
      <c r="U97" s="21">
        <v>0.87</v>
      </c>
      <c r="V97" s="21">
        <v>0.9</v>
      </c>
      <c r="W97" s="21">
        <v>0.93</v>
      </c>
      <c r="X97" s="21">
        <v>0.96</v>
      </c>
      <c r="Y97" s="21">
        <v>0.98</v>
      </c>
      <c r="Z97" s="21">
        <v>1</v>
      </c>
      <c r="AA97" s="21">
        <v>1</v>
      </c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  <c r="HM97" s="19"/>
      <c r="HN97" s="19"/>
      <c r="HO97" s="19"/>
      <c r="HP97" s="19"/>
      <c r="HQ97" s="19"/>
      <c r="HR97" s="19"/>
      <c r="HS97" s="19"/>
      <c r="HT97" s="19"/>
      <c r="HU97" s="19"/>
      <c r="HV97" s="19"/>
      <c r="HW97" s="19"/>
      <c r="HX97" s="19"/>
      <c r="HY97" s="19"/>
      <c r="HZ97" s="19"/>
      <c r="IA97" s="19"/>
      <c r="IB97" s="19"/>
      <c r="IC97" s="19"/>
      <c r="ID97" s="19"/>
      <c r="IE97" s="19"/>
      <c r="IF97" s="19"/>
    </row>
    <row r="98" spans="1:240">
      <c r="A98" s="17" t="s">
        <v>41</v>
      </c>
      <c r="I98" s="36"/>
      <c r="J98" s="36"/>
      <c r="O98" s="198">
        <v>1</v>
      </c>
      <c r="P98" s="198">
        <v>0.105</v>
      </c>
      <c r="Q98" s="198">
        <v>14000</v>
      </c>
      <c r="S98" s="115">
        <v>1</v>
      </c>
      <c r="T98" s="21">
        <v>1</v>
      </c>
      <c r="U98" s="21">
        <v>1</v>
      </c>
      <c r="V98" s="21">
        <v>1</v>
      </c>
      <c r="W98" s="21">
        <v>1</v>
      </c>
      <c r="X98" s="21">
        <v>1</v>
      </c>
      <c r="Y98" s="21">
        <v>1</v>
      </c>
      <c r="Z98" s="21">
        <v>1</v>
      </c>
      <c r="AA98" s="21">
        <v>1</v>
      </c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  <c r="CW98" s="19"/>
      <c r="CX98" s="19"/>
      <c r="CY98" s="19"/>
      <c r="CZ98" s="19"/>
      <c r="DA98" s="19"/>
      <c r="DB98" s="19"/>
      <c r="DC98" s="19"/>
      <c r="DD98" s="19"/>
      <c r="DE98" s="19"/>
      <c r="DF98" s="19"/>
      <c r="DG98" s="19"/>
      <c r="DH98" s="19"/>
      <c r="DI98" s="19"/>
      <c r="DJ98" s="19"/>
      <c r="DK98" s="19"/>
      <c r="DL98" s="19"/>
      <c r="DM98" s="19"/>
      <c r="DN98" s="19"/>
      <c r="DO98" s="19"/>
      <c r="DP98" s="19"/>
      <c r="DQ98" s="19"/>
      <c r="DR98" s="19"/>
      <c r="DS98" s="19"/>
      <c r="DT98" s="19"/>
      <c r="DU98" s="19"/>
      <c r="DV98" s="19"/>
      <c r="DW98" s="19"/>
      <c r="DX98" s="19"/>
      <c r="DY98" s="19"/>
      <c r="DZ98" s="19"/>
      <c r="EA98" s="19"/>
      <c r="EB98" s="19"/>
      <c r="EC98" s="19"/>
      <c r="ED98" s="19"/>
      <c r="EE98" s="19"/>
      <c r="EF98" s="19"/>
      <c r="EG98" s="19"/>
      <c r="EH98" s="19"/>
      <c r="EI98" s="19"/>
      <c r="EJ98" s="19"/>
      <c r="EK98" s="19"/>
      <c r="EL98" s="19"/>
      <c r="EM98" s="19"/>
      <c r="EN98" s="19"/>
      <c r="EO98" s="19"/>
      <c r="EP98" s="19"/>
      <c r="EQ98" s="19"/>
      <c r="ER98" s="19"/>
      <c r="ES98" s="19"/>
      <c r="ET98" s="19"/>
      <c r="EU98" s="19"/>
      <c r="EV98" s="19"/>
      <c r="EW98" s="19"/>
      <c r="EX98" s="19"/>
      <c r="EY98" s="19"/>
      <c r="EZ98" s="19"/>
      <c r="FA98" s="19"/>
      <c r="FB98" s="19"/>
      <c r="FC98" s="19"/>
      <c r="FD98" s="19"/>
      <c r="FE98" s="19"/>
      <c r="FF98" s="19"/>
      <c r="FG98" s="19"/>
      <c r="FH98" s="19"/>
      <c r="FI98" s="19"/>
      <c r="FJ98" s="19"/>
      <c r="FK98" s="19"/>
      <c r="FL98" s="19"/>
      <c r="FM98" s="19"/>
      <c r="FN98" s="19"/>
      <c r="FO98" s="19"/>
      <c r="FP98" s="19"/>
      <c r="FQ98" s="19"/>
      <c r="FR98" s="19"/>
      <c r="FS98" s="19"/>
      <c r="FT98" s="19"/>
      <c r="FU98" s="19"/>
      <c r="FV98" s="19"/>
      <c r="FW98" s="19"/>
      <c r="FX98" s="19"/>
      <c r="FY98" s="19"/>
      <c r="FZ98" s="19"/>
      <c r="GA98" s="19"/>
      <c r="GB98" s="19"/>
      <c r="GC98" s="19"/>
      <c r="GD98" s="19"/>
      <c r="GE98" s="19"/>
      <c r="GF98" s="19"/>
      <c r="GG98" s="19"/>
      <c r="GH98" s="19"/>
      <c r="GI98" s="19"/>
      <c r="GJ98" s="19"/>
      <c r="GK98" s="19"/>
      <c r="GL98" s="19"/>
      <c r="GM98" s="19"/>
      <c r="GN98" s="19"/>
      <c r="GO98" s="19"/>
      <c r="GP98" s="19"/>
      <c r="GQ98" s="19"/>
      <c r="GR98" s="19"/>
      <c r="GS98" s="19"/>
      <c r="GT98" s="19"/>
      <c r="GU98" s="19"/>
      <c r="GV98" s="19"/>
      <c r="GW98" s="19"/>
      <c r="GX98" s="19"/>
      <c r="GY98" s="19"/>
      <c r="GZ98" s="19"/>
      <c r="HA98" s="19"/>
      <c r="HB98" s="19"/>
      <c r="HC98" s="19"/>
      <c r="HD98" s="19"/>
      <c r="HE98" s="19"/>
      <c r="HF98" s="19"/>
      <c r="HG98" s="19"/>
      <c r="HH98" s="19"/>
      <c r="HI98" s="19"/>
      <c r="HJ98" s="19"/>
      <c r="HK98" s="19"/>
      <c r="HL98" s="19"/>
      <c r="HM98" s="19"/>
      <c r="HN98" s="19"/>
      <c r="HO98" s="19"/>
      <c r="HP98" s="19"/>
      <c r="HQ98" s="19"/>
      <c r="HR98" s="19"/>
      <c r="HS98" s="19"/>
      <c r="HT98" s="19"/>
      <c r="HU98" s="19"/>
      <c r="HV98" s="19"/>
      <c r="HW98" s="19"/>
      <c r="HX98" s="19"/>
      <c r="HY98" s="19"/>
      <c r="HZ98" s="19"/>
      <c r="IA98" s="19"/>
      <c r="IB98" s="19"/>
      <c r="IC98" s="19"/>
      <c r="ID98" s="19"/>
      <c r="IE98" s="19"/>
      <c r="IF98" s="19"/>
    </row>
    <row r="99" spans="1:240">
      <c r="C99" s="47"/>
      <c r="I99" s="36"/>
      <c r="J99" s="36"/>
      <c r="O99" s="117">
        <v>2</v>
      </c>
      <c r="P99" s="117">
        <v>0.1</v>
      </c>
      <c r="Q99" s="117">
        <v>11000</v>
      </c>
      <c r="S99" s="115">
        <v>1.5</v>
      </c>
      <c r="T99" s="21">
        <v>1.4</v>
      </c>
      <c r="U99" s="21">
        <v>1.3</v>
      </c>
      <c r="V99" s="21">
        <v>1.2</v>
      </c>
      <c r="W99" s="21">
        <v>1.1200000000000001</v>
      </c>
      <c r="X99" s="21">
        <v>1.06</v>
      </c>
      <c r="Y99" s="21">
        <v>1.03</v>
      </c>
      <c r="Z99" s="21">
        <v>1</v>
      </c>
      <c r="AA99" s="21">
        <v>1</v>
      </c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  <c r="CW99" s="19"/>
      <c r="CX99" s="19"/>
      <c r="CY99" s="19"/>
      <c r="CZ99" s="19"/>
      <c r="DA99" s="19"/>
      <c r="DB99" s="19"/>
      <c r="DC99" s="19"/>
      <c r="DD99" s="19"/>
      <c r="DE99" s="19"/>
      <c r="DF99" s="19"/>
      <c r="DG99" s="19"/>
      <c r="DH99" s="19"/>
      <c r="DI99" s="19"/>
      <c r="DJ99" s="19"/>
      <c r="DK99" s="19"/>
      <c r="DL99" s="19"/>
      <c r="DM99" s="19"/>
      <c r="DN99" s="19"/>
      <c r="DO99" s="19"/>
      <c r="DP99" s="19"/>
      <c r="DQ99" s="19"/>
      <c r="DR99" s="19"/>
      <c r="DS99" s="19"/>
      <c r="DT99" s="19"/>
      <c r="DU99" s="19"/>
      <c r="DV99" s="19"/>
      <c r="DW99" s="19"/>
      <c r="DX99" s="19"/>
      <c r="DY99" s="19"/>
      <c r="DZ99" s="19"/>
      <c r="EA99" s="19"/>
      <c r="EB99" s="19"/>
      <c r="EC99" s="19"/>
      <c r="ED99" s="19"/>
      <c r="EE99" s="19"/>
      <c r="EF99" s="19"/>
      <c r="EG99" s="19"/>
      <c r="EH99" s="19"/>
      <c r="EI99" s="19"/>
      <c r="EJ99" s="19"/>
      <c r="EK99" s="19"/>
      <c r="EL99" s="19"/>
      <c r="EM99" s="19"/>
      <c r="EN99" s="19"/>
      <c r="EO99" s="19"/>
      <c r="EP99" s="19"/>
      <c r="EQ99" s="19"/>
      <c r="ER99" s="19"/>
      <c r="ES99" s="19"/>
      <c r="ET99" s="19"/>
      <c r="EU99" s="19"/>
      <c r="EV99" s="19"/>
      <c r="EW99" s="19"/>
      <c r="EX99" s="19"/>
      <c r="EY99" s="19"/>
      <c r="EZ99" s="19"/>
      <c r="FA99" s="19"/>
      <c r="FB99" s="19"/>
      <c r="FC99" s="19"/>
      <c r="FD99" s="19"/>
      <c r="FE99" s="19"/>
      <c r="FF99" s="19"/>
      <c r="FG99" s="19"/>
      <c r="FH99" s="19"/>
      <c r="FI99" s="19"/>
      <c r="FJ99" s="19"/>
      <c r="FK99" s="19"/>
      <c r="FL99" s="19"/>
      <c r="FM99" s="19"/>
      <c r="FN99" s="19"/>
      <c r="FO99" s="19"/>
      <c r="FP99" s="19"/>
      <c r="FQ99" s="19"/>
      <c r="FR99" s="19"/>
      <c r="FS99" s="19"/>
      <c r="FT99" s="19"/>
      <c r="FU99" s="19"/>
      <c r="FV99" s="19"/>
      <c r="FW99" s="19"/>
      <c r="FX99" s="19"/>
      <c r="FY99" s="19"/>
      <c r="FZ99" s="19"/>
      <c r="GA99" s="19"/>
      <c r="GB99" s="19"/>
      <c r="GC99" s="19"/>
      <c r="GD99" s="19"/>
      <c r="GE99" s="19"/>
      <c r="GF99" s="19"/>
      <c r="GG99" s="19"/>
      <c r="GH99" s="19"/>
      <c r="GI99" s="19"/>
      <c r="GJ99" s="19"/>
      <c r="GK99" s="19"/>
      <c r="GL99" s="19"/>
      <c r="GM99" s="19"/>
      <c r="GN99" s="19"/>
      <c r="GO99" s="19"/>
      <c r="GP99" s="19"/>
      <c r="GQ99" s="19"/>
      <c r="GR99" s="19"/>
      <c r="GS99" s="19"/>
      <c r="GT99" s="19"/>
      <c r="GU99" s="19"/>
      <c r="GV99" s="19"/>
      <c r="GW99" s="19"/>
      <c r="GX99" s="19"/>
      <c r="GY99" s="19"/>
      <c r="GZ99" s="19"/>
      <c r="HA99" s="19"/>
      <c r="HB99" s="19"/>
      <c r="HC99" s="19"/>
      <c r="HD99" s="19"/>
      <c r="HE99" s="19"/>
      <c r="HF99" s="19"/>
      <c r="HG99" s="19"/>
      <c r="HH99" s="19"/>
      <c r="HI99" s="19"/>
      <c r="HJ99" s="19"/>
      <c r="HK99" s="19"/>
      <c r="HL99" s="19"/>
      <c r="HM99" s="19"/>
      <c r="HN99" s="19"/>
      <c r="HO99" s="19"/>
      <c r="HP99" s="19"/>
      <c r="HQ99" s="19"/>
      <c r="HR99" s="19"/>
      <c r="HS99" s="19"/>
      <c r="HT99" s="19"/>
      <c r="HU99" s="19"/>
      <c r="HV99" s="19"/>
      <c r="HW99" s="19"/>
      <c r="HX99" s="19"/>
      <c r="HY99" s="19"/>
      <c r="HZ99" s="19"/>
      <c r="IA99" s="19"/>
      <c r="IB99" s="19"/>
      <c r="IC99" s="19"/>
      <c r="ID99" s="19"/>
      <c r="IE99" s="19"/>
      <c r="IF99" s="19"/>
    </row>
    <row r="100" spans="1:240" ht="13.5">
      <c r="B100" s="48" t="s">
        <v>102</v>
      </c>
      <c r="C100" s="49"/>
      <c r="D100" s="41">
        <v>1.5</v>
      </c>
      <c r="E100" s="72"/>
      <c r="F100" s="72"/>
      <c r="G100" s="72"/>
      <c r="H100" s="72"/>
      <c r="I100" s="36"/>
      <c r="J100" s="36"/>
      <c r="K100" s="72"/>
      <c r="L100" s="72"/>
      <c r="O100" s="198">
        <v>3</v>
      </c>
      <c r="P100" s="198">
        <v>9.6000000000000002E-2</v>
      </c>
      <c r="Q100" s="198">
        <v>4000</v>
      </c>
      <c r="S100" s="115">
        <v>2</v>
      </c>
      <c r="T100" s="21">
        <v>1.7</v>
      </c>
      <c r="U100" s="21">
        <v>1.5</v>
      </c>
      <c r="V100" s="21">
        <v>1.4</v>
      </c>
      <c r="W100" s="21">
        <v>1.3</v>
      </c>
      <c r="X100" s="21">
        <v>1.2</v>
      </c>
      <c r="Y100" s="21">
        <v>1.1000000000000001</v>
      </c>
      <c r="Z100" s="21">
        <v>1.05</v>
      </c>
      <c r="AA100" s="21">
        <v>1</v>
      </c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  <c r="CW100" s="19"/>
      <c r="CX100" s="19"/>
      <c r="CY100" s="19"/>
      <c r="CZ100" s="19"/>
      <c r="DA100" s="19"/>
      <c r="DB100" s="19"/>
      <c r="DC100" s="19"/>
      <c r="DD100" s="19"/>
      <c r="DE100" s="19"/>
      <c r="DF100" s="19"/>
      <c r="DG100" s="19"/>
      <c r="DH100" s="19"/>
      <c r="DI100" s="19"/>
      <c r="DJ100" s="19"/>
      <c r="DK100" s="19"/>
      <c r="DL100" s="19"/>
      <c r="DM100" s="19"/>
      <c r="DN100" s="19"/>
      <c r="DO100" s="19"/>
      <c r="DP100" s="19"/>
      <c r="DQ100" s="19"/>
      <c r="DR100" s="19"/>
      <c r="DS100" s="19"/>
      <c r="DT100" s="19"/>
      <c r="DU100" s="19"/>
      <c r="DV100" s="19"/>
      <c r="DW100" s="19"/>
      <c r="DX100" s="19"/>
      <c r="DY100" s="19"/>
      <c r="DZ100" s="19"/>
      <c r="EA100" s="19"/>
      <c r="EB100" s="19"/>
      <c r="EC100" s="19"/>
      <c r="ED100" s="19"/>
      <c r="EE100" s="19"/>
      <c r="EF100" s="19"/>
      <c r="EG100" s="19"/>
      <c r="EH100" s="19"/>
      <c r="EI100" s="19"/>
      <c r="EJ100" s="19"/>
      <c r="EK100" s="19"/>
      <c r="EL100" s="19"/>
      <c r="EM100" s="19"/>
      <c r="EN100" s="19"/>
      <c r="EO100" s="19"/>
      <c r="EP100" s="19"/>
      <c r="EQ100" s="19"/>
      <c r="ER100" s="19"/>
      <c r="ES100" s="19"/>
      <c r="ET100" s="19"/>
      <c r="EU100" s="19"/>
      <c r="EV100" s="19"/>
      <c r="EW100" s="19"/>
      <c r="EX100" s="19"/>
      <c r="EY100" s="19"/>
      <c r="EZ100" s="19"/>
      <c r="FA100" s="19"/>
      <c r="FB100" s="19"/>
      <c r="FC100" s="19"/>
      <c r="FD100" s="19"/>
      <c r="FE100" s="19"/>
      <c r="FF100" s="19"/>
      <c r="FG100" s="19"/>
      <c r="FH100" s="19"/>
      <c r="FI100" s="19"/>
      <c r="FJ100" s="19"/>
      <c r="FK100" s="19"/>
      <c r="FL100" s="19"/>
      <c r="FM100" s="19"/>
      <c r="FN100" s="19"/>
      <c r="FO100" s="19"/>
      <c r="FP100" s="19"/>
      <c r="FQ100" s="19"/>
      <c r="FR100" s="19"/>
      <c r="FS100" s="19"/>
      <c r="FT100" s="19"/>
      <c r="FU100" s="19"/>
      <c r="FV100" s="19"/>
      <c r="FW100" s="19"/>
      <c r="FX100" s="19"/>
      <c r="FY100" s="19"/>
      <c r="FZ100" s="19"/>
      <c r="GA100" s="19"/>
      <c r="GB100" s="19"/>
      <c r="GC100" s="19"/>
      <c r="GD100" s="19"/>
      <c r="GE100" s="19"/>
      <c r="GF100" s="19"/>
      <c r="GG100" s="19"/>
      <c r="GH100" s="19"/>
      <c r="GI100" s="19"/>
      <c r="GJ100" s="19"/>
      <c r="GK100" s="19"/>
      <c r="GL100" s="19"/>
      <c r="GM100" s="19"/>
      <c r="GN100" s="19"/>
      <c r="GO100" s="19"/>
      <c r="GP100" s="19"/>
      <c r="GQ100" s="19"/>
      <c r="GR100" s="19"/>
      <c r="GS100" s="19"/>
      <c r="GT100" s="19"/>
      <c r="GU100" s="19"/>
      <c r="GV100" s="19"/>
      <c r="GW100" s="19"/>
      <c r="GX100" s="19"/>
      <c r="GY100" s="19"/>
      <c r="GZ100" s="19"/>
      <c r="HA100" s="19"/>
      <c r="HB100" s="19"/>
      <c r="HC100" s="19"/>
      <c r="HD100" s="19"/>
      <c r="HE100" s="19"/>
      <c r="HF100" s="19"/>
      <c r="HG100" s="19"/>
      <c r="HH100" s="19"/>
      <c r="HI100" s="19"/>
      <c r="HJ100" s="19"/>
      <c r="HK100" s="19"/>
      <c r="HL100" s="19"/>
      <c r="HM100" s="19"/>
      <c r="HN100" s="19"/>
      <c r="HO100" s="19"/>
      <c r="HP100" s="19"/>
      <c r="HQ100" s="19"/>
      <c r="HR100" s="19"/>
      <c r="HS100" s="19"/>
      <c r="HT100" s="19"/>
      <c r="HU100" s="19"/>
      <c r="HV100" s="19"/>
      <c r="HW100" s="19"/>
      <c r="HX100" s="19"/>
      <c r="HY100" s="19"/>
      <c r="HZ100" s="19"/>
      <c r="IA100" s="19"/>
      <c r="IB100" s="19"/>
      <c r="IC100" s="19"/>
      <c r="ID100" s="19"/>
      <c r="IE100" s="19"/>
      <c r="IF100" s="19"/>
    </row>
    <row r="101" spans="1:240" ht="13.5">
      <c r="B101" s="50" t="s">
        <v>104</v>
      </c>
      <c r="C101" s="51"/>
      <c r="D101" s="53">
        <f>0.149*57</f>
        <v>8.4930000000000003</v>
      </c>
      <c r="E101" s="123" t="s">
        <v>42</v>
      </c>
      <c r="F101" s="72"/>
      <c r="G101" s="72"/>
      <c r="H101" s="72"/>
      <c r="I101" s="36"/>
      <c r="J101" s="36"/>
      <c r="K101" s="72"/>
      <c r="L101" s="72"/>
      <c r="O101" s="198">
        <v>4</v>
      </c>
      <c r="P101" s="198">
        <v>0.1</v>
      </c>
      <c r="Q101" s="198">
        <v>16000</v>
      </c>
      <c r="S101" s="115">
        <v>3</v>
      </c>
      <c r="T101" s="21">
        <v>2.2000000000000002</v>
      </c>
      <c r="U101" s="21">
        <v>1.8</v>
      </c>
      <c r="V101" s="21">
        <v>1.65</v>
      </c>
      <c r="W101" s="21">
        <v>1.5</v>
      </c>
      <c r="X101" s="21">
        <v>1.35</v>
      </c>
      <c r="Y101" s="21">
        <v>1.2</v>
      </c>
      <c r="Z101" s="21">
        <v>1.1000000000000001</v>
      </c>
      <c r="AA101" s="21">
        <v>1</v>
      </c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  <c r="DC101" s="19"/>
      <c r="DD101" s="19"/>
      <c r="DE101" s="19"/>
      <c r="DF101" s="19"/>
      <c r="DG101" s="19"/>
      <c r="DH101" s="19"/>
      <c r="DI101" s="19"/>
      <c r="DJ101" s="19"/>
      <c r="DK101" s="19"/>
      <c r="DL101" s="19"/>
      <c r="DM101" s="19"/>
      <c r="DN101" s="19"/>
      <c r="DO101" s="19"/>
      <c r="DP101" s="19"/>
      <c r="DQ101" s="19"/>
      <c r="DR101" s="19"/>
      <c r="DS101" s="19"/>
      <c r="DT101" s="19"/>
      <c r="DU101" s="19"/>
      <c r="DV101" s="19"/>
      <c r="DW101" s="19"/>
      <c r="DX101" s="19"/>
      <c r="DY101" s="19"/>
      <c r="DZ101" s="19"/>
      <c r="EA101" s="19"/>
      <c r="EB101" s="19"/>
      <c r="EC101" s="19"/>
      <c r="ED101" s="19"/>
      <c r="EE101" s="19"/>
      <c r="EF101" s="19"/>
      <c r="EG101" s="19"/>
      <c r="EH101" s="19"/>
      <c r="EI101" s="19"/>
      <c r="EJ101" s="19"/>
      <c r="EK101" s="19"/>
      <c r="EL101" s="19"/>
      <c r="EM101" s="19"/>
      <c r="EN101" s="19"/>
      <c r="EO101" s="19"/>
      <c r="EP101" s="19"/>
      <c r="EQ101" s="19"/>
      <c r="ER101" s="19"/>
      <c r="ES101" s="19"/>
      <c r="ET101" s="19"/>
      <c r="EU101" s="19"/>
      <c r="EV101" s="19"/>
      <c r="EW101" s="19"/>
      <c r="EX101" s="19"/>
      <c r="EY101" s="19"/>
      <c r="EZ101" s="19"/>
      <c r="FA101" s="19"/>
      <c r="FB101" s="19"/>
      <c r="FC101" s="19"/>
      <c r="FD101" s="19"/>
      <c r="FE101" s="19"/>
      <c r="FF101" s="19"/>
      <c r="FG101" s="19"/>
      <c r="FH101" s="19"/>
      <c r="FI101" s="19"/>
      <c r="FJ101" s="19"/>
      <c r="FK101" s="19"/>
      <c r="FL101" s="19"/>
      <c r="FM101" s="19"/>
      <c r="FN101" s="19"/>
      <c r="FO101" s="19"/>
      <c r="FP101" s="19"/>
      <c r="FQ101" s="19"/>
      <c r="FR101" s="19"/>
      <c r="FS101" s="19"/>
      <c r="FT101" s="19"/>
      <c r="FU101" s="19"/>
      <c r="FV101" s="19"/>
      <c r="FW101" s="19"/>
      <c r="FX101" s="19"/>
      <c r="FY101" s="19"/>
      <c r="FZ101" s="19"/>
      <c r="GA101" s="19"/>
      <c r="GB101" s="19"/>
      <c r="GC101" s="19"/>
      <c r="GD101" s="19"/>
      <c r="GE101" s="19"/>
      <c r="GF101" s="19"/>
      <c r="GG101" s="19"/>
      <c r="GH101" s="19"/>
      <c r="GI101" s="19"/>
      <c r="GJ101" s="19"/>
      <c r="GK101" s="19"/>
      <c r="GL101" s="19"/>
      <c r="GM101" s="19"/>
      <c r="GN101" s="19"/>
      <c r="GO101" s="19"/>
      <c r="GP101" s="19"/>
      <c r="GQ101" s="19"/>
      <c r="GR101" s="19"/>
      <c r="GS101" s="19"/>
      <c r="GT101" s="19"/>
      <c r="GU101" s="19"/>
      <c r="GV101" s="19"/>
      <c r="GW101" s="19"/>
      <c r="GX101" s="19"/>
      <c r="GY101" s="19"/>
      <c r="GZ101" s="19"/>
      <c r="HA101" s="19"/>
      <c r="HB101" s="19"/>
      <c r="HC101" s="19"/>
      <c r="HD101" s="19"/>
      <c r="HE101" s="19"/>
      <c r="HF101" s="19"/>
      <c r="HG101" s="19"/>
      <c r="HH101" s="19"/>
      <c r="HI101" s="19"/>
      <c r="HJ101" s="19"/>
      <c r="HK101" s="19"/>
      <c r="HL101" s="19"/>
      <c r="HM101" s="19"/>
      <c r="HN101" s="19"/>
      <c r="HO101" s="19"/>
      <c r="HP101" s="19"/>
      <c r="HQ101" s="19"/>
      <c r="HR101" s="19"/>
      <c r="HS101" s="19"/>
      <c r="HT101" s="19"/>
      <c r="HU101" s="19"/>
      <c r="HV101" s="19"/>
      <c r="HW101" s="19"/>
      <c r="HX101" s="19"/>
      <c r="HY101" s="19"/>
      <c r="HZ101" s="19"/>
      <c r="IA101" s="19"/>
      <c r="IB101" s="19"/>
      <c r="IC101" s="19"/>
      <c r="ID101" s="19"/>
      <c r="IE101" s="19"/>
      <c r="IF101" s="19"/>
    </row>
    <row r="102" spans="1:240" ht="13.5">
      <c r="B102" s="50" t="s">
        <v>105</v>
      </c>
      <c r="C102" s="51"/>
      <c r="D102" s="54">
        <f>D101/14.21*100</f>
        <v>59.767769176636165</v>
      </c>
      <c r="E102" s="123" t="s">
        <v>43</v>
      </c>
      <c r="F102" s="123"/>
      <c r="G102" s="123"/>
      <c r="H102" s="123"/>
      <c r="I102" s="60"/>
      <c r="J102" s="60"/>
      <c r="K102" s="123"/>
      <c r="L102" s="72"/>
      <c r="S102" s="115">
        <v>5</v>
      </c>
      <c r="T102" s="21">
        <v>3</v>
      </c>
      <c r="U102" s="21">
        <v>2.2000000000000002</v>
      </c>
      <c r="V102" s="21">
        <v>1.9</v>
      </c>
      <c r="W102" s="21">
        <v>1.7</v>
      </c>
      <c r="X102" s="21">
        <v>1.5</v>
      </c>
      <c r="Y102" s="21">
        <v>1.3</v>
      </c>
      <c r="Z102" s="21">
        <v>1.1499999999999999</v>
      </c>
      <c r="AA102" s="21">
        <v>1</v>
      </c>
    </row>
    <row r="103" spans="1:240" ht="13.5">
      <c r="B103" s="50" t="s">
        <v>104</v>
      </c>
      <c r="C103" s="51"/>
      <c r="D103" s="53">
        <f>0.149*28</f>
        <v>4.1719999999999997</v>
      </c>
      <c r="E103" s="123" t="s">
        <v>132</v>
      </c>
      <c r="F103" s="123"/>
      <c r="G103" s="123"/>
      <c r="H103" s="123"/>
      <c r="I103" s="60"/>
      <c r="J103" s="60"/>
      <c r="K103" s="123"/>
      <c r="L103" s="72"/>
    </row>
    <row r="104" spans="1:240" ht="13.5">
      <c r="B104" s="50" t="s">
        <v>105</v>
      </c>
      <c r="C104" s="51"/>
      <c r="D104" s="54">
        <f>D103/14.21*100</f>
        <v>29.359605911330043</v>
      </c>
      <c r="E104" s="123" t="s">
        <v>44</v>
      </c>
      <c r="F104" s="123"/>
      <c r="G104" s="123"/>
      <c r="H104" s="123"/>
      <c r="I104" s="60"/>
      <c r="J104" s="60"/>
      <c r="K104" s="123"/>
      <c r="L104" s="72"/>
    </row>
    <row r="105" spans="1:240" ht="13.5">
      <c r="B105" s="50" t="s">
        <v>213</v>
      </c>
      <c r="C105" s="49"/>
      <c r="D105" s="55">
        <v>37400</v>
      </c>
      <c r="E105" s="123" t="s">
        <v>332</v>
      </c>
      <c r="F105" s="123"/>
      <c r="G105" s="123"/>
      <c r="H105" s="123"/>
      <c r="I105" s="60"/>
      <c r="J105" s="60"/>
      <c r="K105" s="123"/>
      <c r="L105" s="72"/>
    </row>
    <row r="106" spans="1:240" s="56" customFormat="1">
      <c r="D106" s="57"/>
      <c r="E106" s="58"/>
      <c r="F106" s="59"/>
      <c r="G106" s="59"/>
      <c r="H106" s="60"/>
      <c r="I106" s="60"/>
      <c r="J106" s="60"/>
      <c r="S106" s="17"/>
      <c r="W106" s="17"/>
      <c r="X106" s="17"/>
    </row>
    <row r="107" spans="1:240" s="31" customFormat="1" ht="25.5">
      <c r="B107" s="202" t="str">
        <f>B$40</f>
        <v>Pozo de</v>
      </c>
      <c r="C107" s="202" t="str">
        <f>C$40</f>
        <v>Pozo a</v>
      </c>
      <c r="D107" s="202" t="s">
        <v>130</v>
      </c>
      <c r="E107" s="202" t="s">
        <v>208</v>
      </c>
      <c r="F107" s="202" t="str">
        <f>I40</f>
        <v>Ancho zanja
Bd (m)</v>
      </c>
      <c r="G107" s="142" t="s">
        <v>212</v>
      </c>
      <c r="H107" s="143" t="s">
        <v>46</v>
      </c>
      <c r="I107" s="202" t="s">
        <v>226</v>
      </c>
      <c r="J107" s="204" t="s">
        <v>47</v>
      </c>
      <c r="K107" s="202" t="s">
        <v>227</v>
      </c>
      <c r="L107" s="144" t="s">
        <v>228</v>
      </c>
      <c r="N107" s="17" t="s">
        <v>50</v>
      </c>
      <c r="O107" s="17" t="s">
        <v>51</v>
      </c>
      <c r="P107" s="61"/>
      <c r="Q107" s="61"/>
      <c r="R107" s="61"/>
      <c r="S107" s="61"/>
      <c r="T107" s="61"/>
      <c r="U107" s="61"/>
      <c r="V107" s="17"/>
      <c r="W107" s="17"/>
      <c r="X107" s="61"/>
      <c r="Y107" s="61"/>
    </row>
    <row r="108" spans="1:240" s="74" customFormat="1">
      <c r="B108" s="140" t="str">
        <f t="shared" ref="B108:D111" si="11">+B67</f>
        <v>CR-07</v>
      </c>
      <c r="C108" s="140" t="str">
        <f t="shared" si="11"/>
        <v>CR-08</v>
      </c>
      <c r="D108" s="135">
        <f t="shared" si="11"/>
        <v>7.3</v>
      </c>
      <c r="E108" s="135">
        <f>+F67</f>
        <v>0.2732</v>
      </c>
      <c r="F108" s="135">
        <f>+H67</f>
        <v>1</v>
      </c>
      <c r="G108" s="135">
        <f>K41+L67</f>
        <v>33.190423189783971</v>
      </c>
      <c r="H108" s="132">
        <v>0.1</v>
      </c>
      <c r="I108" s="156">
        <v>11000</v>
      </c>
      <c r="J108" s="52">
        <v>1.1499999999999999</v>
      </c>
      <c r="K108" s="140">
        <f t="shared" ref="K108:K111" si="12">I108*J108</f>
        <v>12649.999999999998</v>
      </c>
      <c r="L108" s="135">
        <f t="shared" ref="L108:L111" si="13">(($D$100*H108*G108)/(IF(E108&lt;=0.5,$D$102,$D$104)+(0.061*K108)))*100</f>
        <v>0.59880407456265139</v>
      </c>
      <c r="M108" s="81"/>
      <c r="N108" s="81">
        <f t="shared" ref="N108:N111" si="14">$D$105/I108</f>
        <v>3.4</v>
      </c>
      <c r="O108" s="81">
        <f t="shared" ref="O108:O111" si="15">F108/E108</f>
        <v>3.6603221083455346</v>
      </c>
      <c r="P108" s="82"/>
      <c r="Q108" s="82"/>
      <c r="R108" s="83"/>
      <c r="S108" s="82"/>
      <c r="T108" s="83"/>
      <c r="U108" s="83"/>
      <c r="V108" s="83"/>
      <c r="W108" s="83"/>
      <c r="X108" s="84"/>
      <c r="Y108" s="84"/>
    </row>
    <row r="109" spans="1:240" s="74" customFormat="1">
      <c r="B109" s="140" t="str">
        <f t="shared" si="11"/>
        <v>CR-08</v>
      </c>
      <c r="C109" s="140">
        <f t="shared" si="11"/>
        <v>156468</v>
      </c>
      <c r="D109" s="135">
        <f t="shared" si="11"/>
        <v>4.75</v>
      </c>
      <c r="E109" s="135">
        <f>+F68</f>
        <v>0.2732</v>
      </c>
      <c r="F109" s="135">
        <f>+H68</f>
        <v>1</v>
      </c>
      <c r="G109" s="135">
        <f>K42+L68</f>
        <v>31.61542861554711</v>
      </c>
      <c r="H109" s="132">
        <v>0.1</v>
      </c>
      <c r="I109" s="156">
        <v>11000</v>
      </c>
      <c r="J109" s="52">
        <v>1.1499999999999999</v>
      </c>
      <c r="K109" s="140">
        <f t="shared" si="12"/>
        <v>12649.999999999998</v>
      </c>
      <c r="L109" s="135">
        <f t="shared" si="13"/>
        <v>0.57038885481464308</v>
      </c>
      <c r="M109" s="81"/>
      <c r="N109" s="81">
        <f t="shared" si="14"/>
        <v>3.4</v>
      </c>
      <c r="O109" s="81">
        <f t="shared" si="15"/>
        <v>3.6603221083455346</v>
      </c>
      <c r="P109" s="82"/>
      <c r="Q109" s="82"/>
      <c r="R109" s="83"/>
      <c r="S109" s="82"/>
      <c r="T109" s="83"/>
      <c r="U109" s="83"/>
      <c r="V109" s="83"/>
      <c r="W109" s="83"/>
      <c r="X109" s="84"/>
      <c r="Y109" s="84"/>
    </row>
    <row r="110" spans="1:240" s="74" customFormat="1">
      <c r="B110" s="140" t="str">
        <f t="shared" si="11"/>
        <v>CR-06</v>
      </c>
      <c r="C110" s="140" t="str">
        <f t="shared" si="11"/>
        <v>CR-08</v>
      </c>
      <c r="D110" s="135">
        <f t="shared" si="11"/>
        <v>8.6999999999999993</v>
      </c>
      <c r="E110" s="135">
        <f>+F69</f>
        <v>0.2732</v>
      </c>
      <c r="F110" s="135">
        <f>+H69</f>
        <v>1</v>
      </c>
      <c r="G110" s="135">
        <f>K43+L69</f>
        <v>31.829193933944374</v>
      </c>
      <c r="H110" s="132">
        <v>0.1</v>
      </c>
      <c r="I110" s="156">
        <v>11000</v>
      </c>
      <c r="J110" s="52">
        <v>1.1499999999999999</v>
      </c>
      <c r="K110" s="140">
        <f t="shared" si="12"/>
        <v>12649.999999999998</v>
      </c>
      <c r="L110" s="135">
        <f t="shared" si="13"/>
        <v>0.57424549571748829</v>
      </c>
      <c r="M110" s="81"/>
      <c r="N110" s="81">
        <f t="shared" si="14"/>
        <v>3.4</v>
      </c>
      <c r="O110" s="81">
        <f t="shared" si="15"/>
        <v>3.6603221083455346</v>
      </c>
      <c r="P110" s="82"/>
      <c r="Q110" s="82"/>
      <c r="R110" s="83"/>
      <c r="S110" s="82"/>
      <c r="T110" s="83"/>
      <c r="U110" s="83"/>
      <c r="V110" s="83"/>
      <c r="W110" s="83"/>
      <c r="X110" s="84"/>
      <c r="Y110" s="84"/>
    </row>
    <row r="111" spans="1:240" s="74" customFormat="1">
      <c r="B111" s="140" t="str">
        <f t="shared" si="11"/>
        <v>CR-09</v>
      </c>
      <c r="C111" s="140">
        <f t="shared" si="11"/>
        <v>81031</v>
      </c>
      <c r="D111" s="135">
        <f t="shared" si="11"/>
        <v>2</v>
      </c>
      <c r="E111" s="135">
        <f>+F70</f>
        <v>0.2732</v>
      </c>
      <c r="F111" s="135">
        <f>+H70</f>
        <v>1</v>
      </c>
      <c r="G111" s="135">
        <f>K44+L70</f>
        <v>35.549186844497534</v>
      </c>
      <c r="H111" s="132">
        <v>0.1</v>
      </c>
      <c r="I111" s="156">
        <v>11000</v>
      </c>
      <c r="J111" s="52">
        <v>1.1499999999999999</v>
      </c>
      <c r="K111" s="140">
        <f t="shared" si="12"/>
        <v>12649.999999999998</v>
      </c>
      <c r="L111" s="135">
        <f t="shared" si="13"/>
        <v>0.64135964185073346</v>
      </c>
      <c r="M111" s="81"/>
      <c r="N111" s="81">
        <f t="shared" si="14"/>
        <v>3.4</v>
      </c>
      <c r="O111" s="81">
        <f t="shared" si="15"/>
        <v>3.6603221083455346</v>
      </c>
      <c r="P111" s="82"/>
      <c r="Q111" s="82"/>
      <c r="R111" s="83"/>
      <c r="S111" s="82"/>
      <c r="T111" s="83"/>
      <c r="U111" s="83"/>
      <c r="V111" s="83"/>
      <c r="W111" s="83"/>
      <c r="X111" s="84"/>
      <c r="Y111" s="84"/>
    </row>
    <row r="112" spans="1:240" s="74" customFormat="1" ht="11.25">
      <c r="N112" s="81"/>
      <c r="O112" s="81"/>
      <c r="P112" s="82"/>
      <c r="Q112" s="82"/>
      <c r="R112" s="83"/>
      <c r="S112" s="82"/>
      <c r="T112" s="83"/>
      <c r="U112" s="83"/>
      <c r="V112" s="83"/>
      <c r="W112" s="83"/>
      <c r="X112" s="84"/>
      <c r="Y112" s="84"/>
    </row>
    <row r="113" spans="1:23" ht="31.5" customHeight="1">
      <c r="A113" s="288" t="s">
        <v>106</v>
      </c>
      <c r="B113" s="288"/>
      <c r="C113" s="288"/>
      <c r="D113" s="288"/>
      <c r="E113" s="288"/>
      <c r="F113" s="288"/>
      <c r="G113" s="288"/>
      <c r="H113" s="288"/>
      <c r="I113" s="288"/>
      <c r="J113" s="288"/>
      <c r="K113" s="288"/>
      <c r="L113" s="288"/>
      <c r="M113" s="288"/>
      <c r="V113" s="83"/>
      <c r="W113" s="83"/>
    </row>
    <row r="114" spans="1:23">
      <c r="N114" s="198" t="s">
        <v>50</v>
      </c>
      <c r="O114" s="198" t="s">
        <v>47</v>
      </c>
      <c r="Q114" s="235" t="s">
        <v>50</v>
      </c>
      <c r="R114" s="235" t="s">
        <v>47</v>
      </c>
      <c r="T114" s="235" t="s">
        <v>51</v>
      </c>
      <c r="U114" s="235" t="s">
        <v>47</v>
      </c>
      <c r="V114" s="83"/>
      <c r="W114" s="83"/>
    </row>
    <row r="115" spans="1:23">
      <c r="A115" s="19" t="s">
        <v>60</v>
      </c>
      <c r="N115" s="235">
        <v>3</v>
      </c>
      <c r="O115" s="235">
        <v>1.2</v>
      </c>
      <c r="Q115" s="235">
        <f>+N115</f>
        <v>3</v>
      </c>
      <c r="R115" s="235">
        <v>1.1000000000000001</v>
      </c>
      <c r="T115" s="235">
        <v>3</v>
      </c>
      <c r="U115" s="235">
        <f>+O116</f>
        <v>1.22</v>
      </c>
      <c r="V115" s="83"/>
      <c r="W115" s="83"/>
    </row>
    <row r="116" spans="1:23">
      <c r="N116" s="236">
        <v>3.4</v>
      </c>
      <c r="O116" s="237">
        <v>1.22</v>
      </c>
      <c r="Q116" s="236">
        <f>+N116</f>
        <v>3.4</v>
      </c>
      <c r="R116" s="237">
        <v>1.1100000000000001</v>
      </c>
      <c r="T116" s="236">
        <v>3.66</v>
      </c>
      <c r="U116" s="238">
        <v>1.1499999999999999</v>
      </c>
      <c r="V116" s="83"/>
      <c r="W116" s="83"/>
    </row>
    <row r="117" spans="1:23">
      <c r="A117" s="298" t="s">
        <v>115</v>
      </c>
      <c r="B117" s="298"/>
      <c r="C117" s="298"/>
      <c r="D117" s="298"/>
      <c r="E117" s="298"/>
      <c r="F117" s="298"/>
      <c r="G117" s="298"/>
      <c r="H117" s="298"/>
      <c r="I117" s="298"/>
      <c r="J117" s="298"/>
      <c r="K117" s="298"/>
      <c r="L117" s="298"/>
      <c r="M117" s="298"/>
      <c r="N117" s="235">
        <v>5</v>
      </c>
      <c r="O117" s="235">
        <v>1.3</v>
      </c>
      <c r="Q117" s="235">
        <f>+N117</f>
        <v>5</v>
      </c>
      <c r="R117" s="235">
        <v>1.1499999999999999</v>
      </c>
      <c r="T117" s="235">
        <v>4</v>
      </c>
      <c r="U117" s="235">
        <f>+R116</f>
        <v>1.1100000000000001</v>
      </c>
    </row>
    <row r="118" spans="1:23">
      <c r="A118" s="298"/>
      <c r="B118" s="298"/>
      <c r="C118" s="298"/>
      <c r="D118" s="298"/>
      <c r="E118" s="298"/>
      <c r="F118" s="298"/>
      <c r="G118" s="298"/>
      <c r="H118" s="298"/>
      <c r="I118" s="298"/>
      <c r="J118" s="298"/>
      <c r="K118" s="298"/>
      <c r="L118" s="298"/>
      <c r="M118" s="298"/>
      <c r="N118" s="301" t="s">
        <v>327</v>
      </c>
      <c r="O118" s="301"/>
      <c r="Q118" s="293" t="s">
        <v>328</v>
      </c>
      <c r="R118" s="294"/>
      <c r="T118" s="293"/>
      <c r="U118" s="294"/>
    </row>
    <row r="119" spans="1:23" ht="9.75" customHeight="1"/>
    <row r="124" spans="1:23">
      <c r="C124" s="17" t="s">
        <v>2</v>
      </c>
    </row>
    <row r="125" spans="1:23">
      <c r="C125" s="62" t="s">
        <v>61</v>
      </c>
      <c r="D125" s="17" t="s">
        <v>216</v>
      </c>
    </row>
    <row r="126" spans="1:23">
      <c r="C126" s="62"/>
      <c r="D126" s="17" t="s">
        <v>214</v>
      </c>
    </row>
    <row r="127" spans="1:23">
      <c r="C127" s="62"/>
      <c r="D127" s="17" t="s">
        <v>215</v>
      </c>
    </row>
    <row r="128" spans="1:23">
      <c r="C128" s="62" t="s">
        <v>62</v>
      </c>
      <c r="D128" s="17" t="s">
        <v>217</v>
      </c>
    </row>
    <row r="129" spans="2:24">
      <c r="C129" s="62"/>
      <c r="D129" s="17" t="s">
        <v>219</v>
      </c>
    </row>
    <row r="130" spans="2:24">
      <c r="C130" s="62"/>
      <c r="D130" s="17" t="s">
        <v>218</v>
      </c>
    </row>
    <row r="131" spans="2:24">
      <c r="C131" s="62" t="s">
        <v>63</v>
      </c>
      <c r="D131" s="17" t="s">
        <v>220</v>
      </c>
    </row>
    <row r="132" spans="2:24">
      <c r="C132" s="62" t="s">
        <v>64</v>
      </c>
      <c r="D132" s="17" t="s">
        <v>65</v>
      </c>
    </row>
    <row r="133" spans="2:24" ht="17.25" customHeight="1">
      <c r="C133" s="62"/>
      <c r="D133" s="17" t="s">
        <v>107</v>
      </c>
    </row>
    <row r="134" spans="2:24">
      <c r="C134" s="62" t="s">
        <v>66</v>
      </c>
      <c r="D134" s="17" t="s">
        <v>221</v>
      </c>
    </row>
    <row r="135" spans="2:24">
      <c r="C135" s="62"/>
      <c r="D135" s="56"/>
    </row>
    <row r="136" spans="2:24" ht="13.5">
      <c r="D136" s="48" t="s">
        <v>108</v>
      </c>
      <c r="E136" s="49"/>
      <c r="F136" s="53">
        <f>D102/8</f>
        <v>7.4709711470795206</v>
      </c>
      <c r="G136" s="123" t="str">
        <f>E102</f>
        <v>Para tuberías PVC Novafort</v>
      </c>
      <c r="H136" s="72"/>
      <c r="I136" s="60"/>
      <c r="J136" s="72"/>
    </row>
    <row r="137" spans="2:24" ht="13.5">
      <c r="D137" s="48" t="s">
        <v>108</v>
      </c>
      <c r="E137" s="49"/>
      <c r="F137" s="53">
        <f>D104/8</f>
        <v>3.6699507389162553</v>
      </c>
      <c r="G137" s="123" t="s">
        <v>44</v>
      </c>
      <c r="H137" s="72"/>
      <c r="I137" s="60"/>
      <c r="J137" s="72"/>
    </row>
    <row r="138" spans="2:24">
      <c r="D138" s="48" t="s">
        <v>67</v>
      </c>
      <c r="E138" s="49"/>
      <c r="F138" s="53">
        <v>6.3</v>
      </c>
      <c r="G138" s="72" t="s">
        <v>68</v>
      </c>
      <c r="H138" s="72"/>
      <c r="I138" s="72"/>
      <c r="J138" s="72"/>
    </row>
    <row r="140" spans="2:24" s="31" customFormat="1" ht="13.5">
      <c r="B140" s="274" t="str">
        <f>B$40</f>
        <v>Pozo de</v>
      </c>
      <c r="C140" s="274" t="str">
        <f>C$40</f>
        <v>Pozo a</v>
      </c>
      <c r="D140" s="274" t="s">
        <v>130</v>
      </c>
      <c r="E140" s="274" t="s">
        <v>208</v>
      </c>
      <c r="F140" s="274" t="s">
        <v>207</v>
      </c>
      <c r="G140" s="202" t="s">
        <v>9</v>
      </c>
      <c r="H140" s="202" t="s">
        <v>45</v>
      </c>
      <c r="I140" s="274" t="s">
        <v>69</v>
      </c>
      <c r="J140" s="274" t="s">
        <v>70</v>
      </c>
      <c r="K140" s="274" t="s">
        <v>71</v>
      </c>
      <c r="L140" s="202" t="s">
        <v>229</v>
      </c>
      <c r="W140" s="17"/>
      <c r="X140" s="17"/>
    </row>
    <row r="141" spans="2:24">
      <c r="B141" s="275"/>
      <c r="C141" s="275"/>
      <c r="D141" s="275"/>
      <c r="E141" s="287"/>
      <c r="F141" s="287"/>
      <c r="G141" s="146" t="s">
        <v>16</v>
      </c>
      <c r="H141" s="147" t="s">
        <v>49</v>
      </c>
      <c r="I141" s="275"/>
      <c r="J141" s="275"/>
      <c r="K141" s="275"/>
      <c r="L141" s="203" t="s">
        <v>72</v>
      </c>
    </row>
    <row r="142" spans="2:24" s="74" customFormat="1">
      <c r="B142" s="140" t="str">
        <f t="shared" ref="B142:E145" si="16">+B108</f>
        <v>CR-07</v>
      </c>
      <c r="C142" s="140" t="str">
        <f t="shared" si="16"/>
        <v>CR-08</v>
      </c>
      <c r="D142" s="135">
        <f t="shared" si="16"/>
        <v>7.3</v>
      </c>
      <c r="E142" s="135">
        <f t="shared" si="16"/>
        <v>0.2732</v>
      </c>
      <c r="F142" s="135">
        <f>+G67</f>
        <v>1.24</v>
      </c>
      <c r="G142" s="135">
        <f t="shared" ref="G142:H145" si="17">+F108</f>
        <v>1</v>
      </c>
      <c r="H142" s="135">
        <f t="shared" si="17"/>
        <v>33.190423189783971</v>
      </c>
      <c r="I142" s="28">
        <f t="shared" ref="I142:I145" si="18">IF(F142/E142&gt;=2,2.5,3)</f>
        <v>2.5</v>
      </c>
      <c r="J142" s="28">
        <f t="shared" ref="J142:J145" si="19">IF($F$138&lt;=F142,1-0.33*($F$138/F142),1)</f>
        <v>1</v>
      </c>
      <c r="K142" s="135">
        <f t="shared" ref="K142:K145" si="20">1/(1+4*EXP(-0.2133*F142))</f>
        <v>0.24567711713506543</v>
      </c>
      <c r="L142" s="135">
        <f>1/I142*SQRT(32*J142*K142*K108*IF(E142&lt;=0.5,$F$136,$F$137))</f>
        <v>344.78719358650102</v>
      </c>
      <c r="W142" s="76"/>
      <c r="X142" s="76"/>
    </row>
    <row r="143" spans="2:24" s="74" customFormat="1">
      <c r="B143" s="140" t="str">
        <f t="shared" si="16"/>
        <v>CR-08</v>
      </c>
      <c r="C143" s="140">
        <f t="shared" si="16"/>
        <v>156468</v>
      </c>
      <c r="D143" s="135">
        <f t="shared" si="16"/>
        <v>4.75</v>
      </c>
      <c r="E143" s="135">
        <f t="shared" si="16"/>
        <v>0.2732</v>
      </c>
      <c r="F143" s="135">
        <f>+G68</f>
        <v>1.43</v>
      </c>
      <c r="G143" s="135">
        <f t="shared" si="17"/>
        <v>1</v>
      </c>
      <c r="H143" s="135">
        <f t="shared" si="17"/>
        <v>31.61542861554711</v>
      </c>
      <c r="I143" s="28">
        <f t="shared" si="18"/>
        <v>2.5</v>
      </c>
      <c r="J143" s="28">
        <f t="shared" si="19"/>
        <v>1</v>
      </c>
      <c r="K143" s="135">
        <f t="shared" si="20"/>
        <v>0.25326474229247181</v>
      </c>
      <c r="L143" s="135">
        <f>1/I143*SQRT(32*J143*K143*K109*IF(E143&lt;=0.5,$F$136,$F$137))</f>
        <v>350.07100401846134</v>
      </c>
      <c r="W143" s="76"/>
      <c r="X143" s="76"/>
    </row>
    <row r="144" spans="2:24" s="74" customFormat="1">
      <c r="B144" s="140" t="str">
        <f t="shared" si="16"/>
        <v>CR-06</v>
      </c>
      <c r="C144" s="140" t="str">
        <f t="shared" si="16"/>
        <v>CR-08</v>
      </c>
      <c r="D144" s="135">
        <f t="shared" si="16"/>
        <v>8.6999999999999993</v>
      </c>
      <c r="E144" s="135">
        <f t="shared" si="16"/>
        <v>0.2732</v>
      </c>
      <c r="F144" s="135">
        <f>+G69</f>
        <v>1.4</v>
      </c>
      <c r="G144" s="135">
        <f t="shared" si="17"/>
        <v>1</v>
      </c>
      <c r="H144" s="135">
        <f t="shared" si="17"/>
        <v>31.829193933944374</v>
      </c>
      <c r="I144" s="28">
        <f t="shared" si="18"/>
        <v>2.5</v>
      </c>
      <c r="J144" s="28">
        <f t="shared" si="19"/>
        <v>1</v>
      </c>
      <c r="K144" s="135">
        <f t="shared" si="20"/>
        <v>0.25205646427699829</v>
      </c>
      <c r="L144" s="135">
        <f>1/I144*SQRT(32*J144*K144*K110*IF(E144&lt;=0.5,$F$136,$F$137))</f>
        <v>349.23494449786449</v>
      </c>
      <c r="W144" s="76"/>
      <c r="X144" s="76"/>
    </row>
    <row r="145" spans="1:24" s="74" customFormat="1">
      <c r="B145" s="140" t="str">
        <f t="shared" si="16"/>
        <v>CR-09</v>
      </c>
      <c r="C145" s="140">
        <f t="shared" si="16"/>
        <v>81031</v>
      </c>
      <c r="D145" s="135">
        <f t="shared" si="16"/>
        <v>2</v>
      </c>
      <c r="E145" s="135">
        <f t="shared" si="16"/>
        <v>0.2732</v>
      </c>
      <c r="F145" s="135">
        <f>+G70</f>
        <v>1.04</v>
      </c>
      <c r="G145" s="135">
        <f t="shared" si="17"/>
        <v>1</v>
      </c>
      <c r="H145" s="135">
        <f t="shared" si="17"/>
        <v>35.549186844497534</v>
      </c>
      <c r="I145" s="28">
        <f t="shared" si="18"/>
        <v>2.5</v>
      </c>
      <c r="J145" s="28">
        <f t="shared" si="19"/>
        <v>1</v>
      </c>
      <c r="K145" s="135">
        <f t="shared" si="20"/>
        <v>0.23785739668732089</v>
      </c>
      <c r="L145" s="135">
        <f>1/I145*SQRT(32*J145*K145*K111*IF(E145&lt;=0.5,$F$136,$F$137))</f>
        <v>339.25566116366389</v>
      </c>
      <c r="W145" s="76"/>
      <c r="X145" s="76"/>
    </row>
    <row r="146" spans="1:24" s="74" customFormat="1"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</row>
    <row r="147" spans="1:24">
      <c r="A147" s="17" t="s">
        <v>73</v>
      </c>
      <c r="H147" s="63"/>
    </row>
    <row r="148" spans="1:24">
      <c r="H148" s="63"/>
    </row>
    <row r="149" spans="1:24">
      <c r="H149" s="63"/>
    </row>
    <row r="150" spans="1:24">
      <c r="H150" s="63"/>
    </row>
    <row r="151" spans="1:24">
      <c r="H151" s="63"/>
    </row>
    <row r="152" spans="1:24">
      <c r="H152" s="63"/>
    </row>
    <row r="154" spans="1:24" s="31" customFormat="1" ht="27" customHeight="1">
      <c r="C154" s="202" t="str">
        <f>B$40</f>
        <v>Pozo de</v>
      </c>
      <c r="D154" s="202" t="str">
        <f>C$40</f>
        <v>Pozo a</v>
      </c>
      <c r="E154" s="202" t="s">
        <v>222</v>
      </c>
      <c r="F154" s="204" t="s">
        <v>204</v>
      </c>
      <c r="G154" s="202" t="s">
        <v>207</v>
      </c>
      <c r="H154" s="202" t="s">
        <v>206</v>
      </c>
      <c r="I154" s="202" t="s">
        <v>211</v>
      </c>
      <c r="J154" s="202" t="s">
        <v>230</v>
      </c>
      <c r="K154" s="202" t="s">
        <v>231</v>
      </c>
      <c r="W154" s="17"/>
      <c r="X154" s="17"/>
    </row>
    <row r="155" spans="1:24" s="74" customFormat="1">
      <c r="C155" s="135" t="str">
        <f t="shared" ref="C155:G158" si="21">+B142</f>
        <v>CR-07</v>
      </c>
      <c r="D155" s="135" t="str">
        <f t="shared" si="21"/>
        <v>CR-08</v>
      </c>
      <c r="E155" s="135">
        <f t="shared" si="21"/>
        <v>7.3</v>
      </c>
      <c r="F155" s="135">
        <f t="shared" si="21"/>
        <v>0.2732</v>
      </c>
      <c r="G155" s="135">
        <f t="shared" si="21"/>
        <v>1.24</v>
      </c>
      <c r="H155" s="135">
        <f>+K41</f>
        <v>6.7753599999999983</v>
      </c>
      <c r="I155" s="135">
        <f>+L67</f>
        <v>26.415063189783975</v>
      </c>
      <c r="J155" s="135">
        <f>10*IF(G155&gt;$F$138,G155-$F$138,0)+(J142*H155/F155)+I155/F155</f>
        <v>121.48763978691059</v>
      </c>
      <c r="K155" s="135" t="str">
        <f>IF(J155&lt;L142,"OK","NO CUMPLE")</f>
        <v>OK</v>
      </c>
    </row>
    <row r="156" spans="1:24" s="74" customFormat="1">
      <c r="C156" s="135" t="str">
        <f t="shared" si="21"/>
        <v>CR-08</v>
      </c>
      <c r="D156" s="135">
        <f t="shared" si="21"/>
        <v>156468</v>
      </c>
      <c r="E156" s="135">
        <f t="shared" si="21"/>
        <v>4.75</v>
      </c>
      <c r="F156" s="135">
        <f t="shared" si="21"/>
        <v>0.2732</v>
      </c>
      <c r="G156" s="135">
        <f t="shared" si="21"/>
        <v>1.43</v>
      </c>
      <c r="H156" s="135">
        <f>+K42</f>
        <v>7.8135199999999996</v>
      </c>
      <c r="I156" s="135">
        <f>+L68</f>
        <v>23.801908615547109</v>
      </c>
      <c r="J156" s="135">
        <f>10*IF(G156&gt;$F$138,G156-$F$138,0)+(J143*H156/F156)+I156/F156</f>
        <v>115.72265232630713</v>
      </c>
      <c r="K156" s="135" t="str">
        <f>IF(J156&lt;L143,"OK","NO CUMPLE")</f>
        <v>OK</v>
      </c>
    </row>
    <row r="157" spans="1:24" s="74" customFormat="1">
      <c r="C157" s="135" t="str">
        <f t="shared" si="21"/>
        <v>CR-06</v>
      </c>
      <c r="D157" s="135" t="str">
        <f t="shared" si="21"/>
        <v>CR-08</v>
      </c>
      <c r="E157" s="135">
        <f t="shared" si="21"/>
        <v>8.6999999999999993</v>
      </c>
      <c r="F157" s="135">
        <f t="shared" si="21"/>
        <v>0.2732</v>
      </c>
      <c r="G157" s="135">
        <f t="shared" si="21"/>
        <v>1.4</v>
      </c>
      <c r="H157" s="135">
        <f>+K43</f>
        <v>7.6495999999999995</v>
      </c>
      <c r="I157" s="135">
        <f>+L69</f>
        <v>24.179593933944375</v>
      </c>
      <c r="J157" s="135">
        <f>10*IF(G157&gt;$F$138,G157-$F$138,0)+(J144*H157/F157)+I157/F157</f>
        <v>116.50510224723416</v>
      </c>
      <c r="K157" s="135" t="str">
        <f>IF(J157&lt;L144,"OK","NO CUMPLE")</f>
        <v>OK</v>
      </c>
    </row>
    <row r="158" spans="1:24" s="74" customFormat="1">
      <c r="C158" s="135" t="str">
        <f t="shared" si="21"/>
        <v>CR-09</v>
      </c>
      <c r="D158" s="135">
        <f t="shared" si="21"/>
        <v>81031</v>
      </c>
      <c r="E158" s="135">
        <f t="shared" si="21"/>
        <v>2</v>
      </c>
      <c r="F158" s="135">
        <f t="shared" si="21"/>
        <v>0.2732</v>
      </c>
      <c r="G158" s="135">
        <f t="shared" si="21"/>
        <v>1.04</v>
      </c>
      <c r="H158" s="135">
        <f>+K44</f>
        <v>5.6825600000000005</v>
      </c>
      <c r="I158" s="135">
        <f>+L70</f>
        <v>29.866626844497535</v>
      </c>
      <c r="J158" s="135">
        <f>10*IF(G158&gt;$F$138,G158-$F$138,0)+(J145*H158/F158)+I158/F158</f>
        <v>130.12147454062057</v>
      </c>
      <c r="K158" s="135" t="str">
        <f>IF(J158&lt;L145,"OK","NO CUMPLE")</f>
        <v>OK</v>
      </c>
    </row>
    <row r="159" spans="1:24" s="74" customFormat="1" ht="11.25"/>
    <row r="160" spans="1:24">
      <c r="A160" s="64" t="s">
        <v>74</v>
      </c>
      <c r="B160" s="65"/>
      <c r="C160" s="65"/>
      <c r="D160" s="65"/>
      <c r="E160" s="65"/>
      <c r="F160" s="65"/>
      <c r="G160" s="65"/>
    </row>
    <row r="161" spans="1:22">
      <c r="A161" s="65"/>
      <c r="B161" s="65"/>
      <c r="C161" s="65"/>
      <c r="D161" s="65"/>
      <c r="E161" s="65"/>
      <c r="F161" s="65"/>
      <c r="G161" s="65"/>
    </row>
    <row r="162" spans="1:22">
      <c r="A162" s="65" t="s">
        <v>109</v>
      </c>
      <c r="B162" s="65"/>
      <c r="C162" s="65"/>
      <c r="D162" s="65"/>
      <c r="E162" s="65"/>
      <c r="F162" s="65"/>
      <c r="G162" s="65"/>
    </row>
    <row r="163" spans="1:22">
      <c r="A163" s="65"/>
      <c r="B163" s="65"/>
      <c r="C163" s="65"/>
      <c r="D163" s="65"/>
      <c r="E163" s="65"/>
      <c r="F163" s="65"/>
      <c r="G163" s="65"/>
    </row>
    <row r="164" spans="1:22">
      <c r="A164" s="1"/>
      <c r="B164" s="65"/>
      <c r="C164" s="65"/>
      <c r="D164" s="65"/>
      <c r="E164" s="65"/>
      <c r="F164" s="65"/>
      <c r="G164" s="65"/>
    </row>
    <row r="165" spans="1:22">
      <c r="A165" s="65"/>
      <c r="B165" s="65"/>
      <c r="C165" s="65"/>
      <c r="D165" s="65"/>
      <c r="E165" s="65"/>
      <c r="F165" s="65"/>
      <c r="G165" s="65"/>
    </row>
    <row r="166" spans="1:22">
      <c r="A166" s="65"/>
      <c r="B166" s="65"/>
      <c r="C166" s="65"/>
      <c r="D166" s="65"/>
      <c r="E166" s="65"/>
      <c r="F166" s="65"/>
      <c r="G166" s="65"/>
    </row>
    <row r="167" spans="1:22">
      <c r="A167" s="65" t="s">
        <v>2</v>
      </c>
      <c r="B167" s="65"/>
      <c r="C167" s="65"/>
      <c r="D167" s="65"/>
      <c r="E167" s="65"/>
      <c r="F167" s="65"/>
      <c r="G167" s="65"/>
    </row>
    <row r="168" spans="1:22" ht="13.5">
      <c r="A168" s="65"/>
      <c r="B168" s="66" t="s">
        <v>110</v>
      </c>
      <c r="C168" s="67" t="s">
        <v>75</v>
      </c>
      <c r="D168" s="67"/>
      <c r="E168" s="65"/>
      <c r="F168" s="65"/>
      <c r="G168" s="65"/>
    </row>
    <row r="169" spans="1:22">
      <c r="A169" s="65"/>
      <c r="B169" s="66" t="s">
        <v>26</v>
      </c>
      <c r="C169" s="67" t="s">
        <v>76</v>
      </c>
      <c r="D169" s="65"/>
      <c r="E169" s="65"/>
      <c r="F169" s="65"/>
      <c r="G169" s="65"/>
    </row>
    <row r="170" spans="1:22" ht="13.5">
      <c r="A170" s="65"/>
      <c r="B170" s="66" t="s">
        <v>77</v>
      </c>
      <c r="C170" s="65" t="s">
        <v>111</v>
      </c>
      <c r="D170" s="65"/>
      <c r="E170" s="65"/>
      <c r="F170" s="65"/>
      <c r="G170" s="65"/>
    </row>
    <row r="171" spans="1:22">
      <c r="A171" s="65"/>
      <c r="B171" s="65"/>
      <c r="C171" s="65"/>
      <c r="D171" s="65"/>
      <c r="E171" s="65"/>
      <c r="F171" s="65"/>
      <c r="G171" s="65"/>
    </row>
    <row r="172" spans="1:22" ht="14.25">
      <c r="A172" s="65" t="s">
        <v>112</v>
      </c>
      <c r="B172" s="65"/>
      <c r="C172" s="65"/>
      <c r="D172" s="65"/>
      <c r="E172" s="65"/>
      <c r="F172" s="65"/>
      <c r="G172" s="65"/>
    </row>
    <row r="173" spans="1:22">
      <c r="B173" s="65"/>
      <c r="C173" s="65"/>
      <c r="D173" s="65"/>
      <c r="E173" s="65"/>
      <c r="F173" s="65"/>
      <c r="G173" s="65"/>
      <c r="H173" s="65"/>
    </row>
    <row r="174" spans="1:22" ht="25.5">
      <c r="D174" s="149" t="str">
        <f>B40</f>
        <v>Pozo de</v>
      </c>
      <c r="E174" s="149" t="str">
        <f>C40</f>
        <v>Pozo a</v>
      </c>
      <c r="F174" s="202" t="str">
        <f>E40</f>
        <v>Diám Nominal (in)</v>
      </c>
      <c r="G174" s="202" t="s">
        <v>208</v>
      </c>
      <c r="H174" s="149" t="s">
        <v>212</v>
      </c>
      <c r="I174" s="150" t="s">
        <v>232</v>
      </c>
      <c r="J174" s="150" t="s">
        <v>233</v>
      </c>
      <c r="O174" s="199"/>
      <c r="P174" s="199"/>
      <c r="Q174" s="199"/>
      <c r="R174" s="199"/>
      <c r="S174" s="199"/>
      <c r="T174" s="199"/>
      <c r="U174" s="199"/>
      <c r="V174" s="199"/>
    </row>
    <row r="175" spans="1:22" s="74" customFormat="1">
      <c r="D175" s="151" t="str">
        <f t="shared" ref="D175:E178" si="22">+C155</f>
        <v>CR-07</v>
      </c>
      <c r="E175" s="151" t="str">
        <f t="shared" si="22"/>
        <v>CR-08</v>
      </c>
      <c r="F175" s="151">
        <f>+E41</f>
        <v>10</v>
      </c>
      <c r="G175" s="152">
        <f>+F155</f>
        <v>0.2732</v>
      </c>
      <c r="H175" s="152">
        <f>+I155+H155</f>
        <v>33.190423189783971</v>
      </c>
      <c r="I175" s="152">
        <f t="shared" ref="I175:I178" si="23">2*H175/(PI()*G175)</f>
        <v>77.34143358661774</v>
      </c>
      <c r="J175" s="152" t="str">
        <f t="shared" ref="J175:J178" si="24">IF(I175&lt;67500,"OK","Falta")</f>
        <v>OK</v>
      </c>
    </row>
    <row r="176" spans="1:22" s="74" customFormat="1">
      <c r="D176" s="151" t="str">
        <f t="shared" si="22"/>
        <v>CR-08</v>
      </c>
      <c r="E176" s="151">
        <f t="shared" si="22"/>
        <v>156468</v>
      </c>
      <c r="F176" s="151">
        <f>+E42</f>
        <v>10</v>
      </c>
      <c r="G176" s="152">
        <f>+F156</f>
        <v>0.2732</v>
      </c>
      <c r="H176" s="152">
        <f>+I156+H156</f>
        <v>31.61542861554711</v>
      </c>
      <c r="I176" s="152">
        <f t="shared" si="23"/>
        <v>73.671328581746408</v>
      </c>
      <c r="J176" s="152" t="str">
        <f t="shared" si="24"/>
        <v>OK</v>
      </c>
    </row>
    <row r="177" spans="1:13" s="74" customFormat="1">
      <c r="D177" s="151" t="str">
        <f t="shared" si="22"/>
        <v>CR-06</v>
      </c>
      <c r="E177" s="151" t="str">
        <f t="shared" si="22"/>
        <v>CR-08</v>
      </c>
      <c r="F177" s="151">
        <f>+E43</f>
        <v>10</v>
      </c>
      <c r="G177" s="152">
        <f>+F157</f>
        <v>0.2732</v>
      </c>
      <c r="H177" s="152">
        <f>+I157+H157</f>
        <v>31.829193933944374</v>
      </c>
      <c r="I177" s="152">
        <f t="shared" si="23"/>
        <v>74.169451672296006</v>
      </c>
      <c r="J177" s="152" t="str">
        <f t="shared" si="24"/>
        <v>OK</v>
      </c>
    </row>
    <row r="178" spans="1:13" s="74" customFormat="1">
      <c r="D178" s="151" t="str">
        <f t="shared" si="22"/>
        <v>CR-09</v>
      </c>
      <c r="E178" s="151">
        <f t="shared" si="22"/>
        <v>81031</v>
      </c>
      <c r="F178" s="151">
        <f>+E44</f>
        <v>10</v>
      </c>
      <c r="G178" s="152">
        <f>+F158</f>
        <v>0.2732</v>
      </c>
      <c r="H178" s="152">
        <f>+I158+H158</f>
        <v>35.549186844497534</v>
      </c>
      <c r="I178" s="152">
        <f t="shared" si="23"/>
        <v>82.837903502183892</v>
      </c>
      <c r="J178" s="152" t="str">
        <f t="shared" si="24"/>
        <v>OK</v>
      </c>
    </row>
    <row r="179" spans="1:13" s="74" customFormat="1">
      <c r="D179" s="218"/>
      <c r="E179" s="218"/>
      <c r="F179" s="218"/>
      <c r="G179" s="219"/>
      <c r="H179" s="219"/>
      <c r="I179" s="219"/>
      <c r="J179" s="219"/>
    </row>
    <row r="180" spans="1:13" s="74" customFormat="1">
      <c r="A180" s="64" t="s">
        <v>240</v>
      </c>
    </row>
    <row r="181" spans="1:13" s="74" customFormat="1">
      <c r="A181" s="65"/>
    </row>
    <row r="182" spans="1:13" s="74" customFormat="1" ht="35.25" customHeight="1">
      <c r="A182" s="292" t="s">
        <v>379</v>
      </c>
      <c r="B182" s="292"/>
      <c r="C182" s="292"/>
      <c r="D182" s="292"/>
      <c r="E182" s="292"/>
      <c r="F182" s="292"/>
      <c r="G182" s="292"/>
      <c r="H182" s="292"/>
      <c r="I182" s="292"/>
      <c r="J182" s="292"/>
      <c r="K182" s="292"/>
      <c r="L182" s="292"/>
      <c r="M182" s="292"/>
    </row>
    <row r="183" spans="1:13" s="74" customFormat="1">
      <c r="A183" s="65"/>
    </row>
    <row r="184" spans="1:13" s="74" customFormat="1" ht="11.25" customHeight="1">
      <c r="D184" s="286" t="s">
        <v>125</v>
      </c>
      <c r="E184" s="286" t="s">
        <v>126</v>
      </c>
      <c r="F184" s="286" t="s">
        <v>134</v>
      </c>
      <c r="G184" s="279" t="s">
        <v>191</v>
      </c>
      <c r="H184" s="299" t="s">
        <v>135</v>
      </c>
      <c r="I184" s="286" t="s">
        <v>384</v>
      </c>
    </row>
    <row r="185" spans="1:13" s="74" customFormat="1" ht="11.25" customHeight="1">
      <c r="D185" s="287"/>
      <c r="E185" s="287"/>
      <c r="F185" s="287"/>
      <c r="G185" s="279"/>
      <c r="H185" s="300"/>
      <c r="I185" s="287"/>
    </row>
    <row r="186" spans="1:13" s="74" customFormat="1">
      <c r="D186" s="90" t="str">
        <f t="shared" ref="D186:E189" si="25">+B67</f>
        <v>CR-07</v>
      </c>
      <c r="E186" s="90" t="str">
        <f t="shared" si="25"/>
        <v>CR-08</v>
      </c>
      <c r="F186" s="21">
        <f>+G67</f>
        <v>1.24</v>
      </c>
      <c r="G186" s="21">
        <f>+P41</f>
        <v>1.6132</v>
      </c>
      <c r="H186" s="153" t="str">
        <f t="shared" ref="H186:H189" si="26">+IF(G186&gt;0.5,"NO","SI")</f>
        <v>NO</v>
      </c>
      <c r="I186" s="198" t="s">
        <v>380</v>
      </c>
    </row>
    <row r="187" spans="1:13" s="74" customFormat="1">
      <c r="D187" s="90" t="str">
        <f t="shared" si="25"/>
        <v>CR-08</v>
      </c>
      <c r="E187" s="90">
        <f t="shared" si="25"/>
        <v>156468</v>
      </c>
      <c r="F187" s="21">
        <f>+G68</f>
        <v>1.43</v>
      </c>
      <c r="G187" s="21">
        <f>+P42</f>
        <v>1.8031999999999999</v>
      </c>
      <c r="H187" s="153" t="str">
        <f t="shared" si="26"/>
        <v>NO</v>
      </c>
      <c r="I187" s="248" t="s">
        <v>380</v>
      </c>
    </row>
    <row r="188" spans="1:13" s="74" customFormat="1">
      <c r="D188" s="90" t="str">
        <f t="shared" si="25"/>
        <v>CR-06</v>
      </c>
      <c r="E188" s="90" t="str">
        <f t="shared" si="25"/>
        <v>CR-08</v>
      </c>
      <c r="F188" s="21">
        <f>+G69</f>
        <v>1.4</v>
      </c>
      <c r="G188" s="21">
        <f>+P43</f>
        <v>1.7732000000000001</v>
      </c>
      <c r="H188" s="153" t="str">
        <f t="shared" si="26"/>
        <v>NO</v>
      </c>
      <c r="I188" s="248" t="s">
        <v>380</v>
      </c>
    </row>
    <row r="189" spans="1:13" s="74" customFormat="1">
      <c r="D189" s="90" t="str">
        <f t="shared" si="25"/>
        <v>CR-09</v>
      </c>
      <c r="E189" s="90">
        <f t="shared" si="25"/>
        <v>81031</v>
      </c>
      <c r="F189" s="21">
        <f>+G70</f>
        <v>1.04</v>
      </c>
      <c r="G189" s="21">
        <f>+P44</f>
        <v>1.4132000000000002</v>
      </c>
      <c r="H189" s="153" t="str">
        <f t="shared" si="26"/>
        <v>NO</v>
      </c>
      <c r="I189" s="248" t="s">
        <v>380</v>
      </c>
    </row>
    <row r="191" spans="1:13">
      <c r="A191" s="64" t="s">
        <v>398</v>
      </c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</row>
    <row r="192" spans="1:13">
      <c r="A192" s="65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</row>
    <row r="193" spans="1:1">
      <c r="A193" s="17" t="s">
        <v>392</v>
      </c>
    </row>
    <row r="217" spans="2:12">
      <c r="B217" s="279" t="s">
        <v>128</v>
      </c>
      <c r="C217" s="279" t="s">
        <v>129</v>
      </c>
      <c r="D217" s="317" t="s">
        <v>48</v>
      </c>
      <c r="E217" s="317" t="s">
        <v>16</v>
      </c>
      <c r="F217" s="317" t="s">
        <v>134</v>
      </c>
      <c r="G217" s="279" t="s">
        <v>191</v>
      </c>
      <c r="H217" s="279" t="s">
        <v>393</v>
      </c>
      <c r="I217" s="279" t="s">
        <v>394</v>
      </c>
      <c r="J217" s="279" t="s">
        <v>395</v>
      </c>
      <c r="K217" s="279" t="s">
        <v>396</v>
      </c>
      <c r="L217" s="279" t="s">
        <v>397</v>
      </c>
    </row>
    <row r="218" spans="2:12">
      <c r="B218" s="279"/>
      <c r="C218" s="279"/>
      <c r="D218" s="317"/>
      <c r="E218" s="317"/>
      <c r="F218" s="317"/>
      <c r="G218" s="279"/>
      <c r="H218" s="279"/>
      <c r="I218" s="279"/>
      <c r="J218" s="279"/>
      <c r="K218" s="279"/>
      <c r="L218" s="279"/>
    </row>
    <row r="219" spans="2:12">
      <c r="B219" s="90" t="str">
        <f t="shared" ref="B219:C222" si="27">+D186</f>
        <v>CR-07</v>
      </c>
      <c r="C219" s="90" t="str">
        <f t="shared" si="27"/>
        <v>CR-08</v>
      </c>
      <c r="D219" s="21">
        <f>+G175</f>
        <v>0.2732</v>
      </c>
      <c r="E219" s="21">
        <f>+G142</f>
        <v>1</v>
      </c>
      <c r="F219" s="21">
        <f t="shared" ref="F219:G222" si="28">+F186</f>
        <v>1.24</v>
      </c>
      <c r="G219" s="21">
        <f t="shared" si="28"/>
        <v>1.6132</v>
      </c>
      <c r="H219" s="21">
        <v>0.1</v>
      </c>
      <c r="I219" s="21">
        <f>+D219*0.6</f>
        <v>0.16391999999999998</v>
      </c>
      <c r="J219" s="21">
        <f>(0.4*D219)+0.3</f>
        <v>0.40927999999999998</v>
      </c>
      <c r="K219" s="21">
        <f>G219-J219-I219-H219-L219</f>
        <v>0.44000000000000006</v>
      </c>
      <c r="L219" s="21">
        <v>0.5</v>
      </c>
    </row>
    <row r="220" spans="2:12">
      <c r="B220" s="90" t="str">
        <f t="shared" si="27"/>
        <v>CR-08</v>
      </c>
      <c r="C220" s="90">
        <f t="shared" si="27"/>
        <v>156468</v>
      </c>
      <c r="D220" s="21">
        <f>+G176</f>
        <v>0.2732</v>
      </c>
      <c r="E220" s="21">
        <f>+G143</f>
        <v>1</v>
      </c>
      <c r="F220" s="21">
        <f t="shared" si="28"/>
        <v>1.43</v>
      </c>
      <c r="G220" s="21">
        <f t="shared" si="28"/>
        <v>1.8031999999999999</v>
      </c>
      <c r="H220" s="21">
        <v>0.1</v>
      </c>
      <c r="I220" s="21">
        <f t="shared" ref="I220:I222" si="29">+D220*0.6</f>
        <v>0.16391999999999998</v>
      </c>
      <c r="J220" s="21">
        <f t="shared" ref="J220:J222" si="30">(0.4*D220)+0.3</f>
        <v>0.40927999999999998</v>
      </c>
      <c r="K220" s="21">
        <f t="shared" ref="K220:K222" si="31">G220-J220-I220-H220-L220</f>
        <v>0.62999999999999989</v>
      </c>
      <c r="L220" s="21">
        <v>0.5</v>
      </c>
    </row>
    <row r="221" spans="2:12">
      <c r="B221" s="90" t="str">
        <f t="shared" si="27"/>
        <v>CR-06</v>
      </c>
      <c r="C221" s="90" t="str">
        <f t="shared" si="27"/>
        <v>CR-08</v>
      </c>
      <c r="D221" s="21">
        <f>+G177</f>
        <v>0.2732</v>
      </c>
      <c r="E221" s="21">
        <f>+G144</f>
        <v>1</v>
      </c>
      <c r="F221" s="21">
        <f t="shared" si="28"/>
        <v>1.4</v>
      </c>
      <c r="G221" s="21">
        <f t="shared" si="28"/>
        <v>1.7732000000000001</v>
      </c>
      <c r="H221" s="21">
        <v>0.1</v>
      </c>
      <c r="I221" s="21">
        <f t="shared" si="29"/>
        <v>0.16391999999999998</v>
      </c>
      <c r="J221" s="21">
        <f t="shared" si="30"/>
        <v>0.40927999999999998</v>
      </c>
      <c r="K221" s="21">
        <f t="shared" si="31"/>
        <v>0.60000000000000009</v>
      </c>
      <c r="L221" s="21">
        <v>0.5</v>
      </c>
    </row>
    <row r="222" spans="2:12">
      <c r="B222" s="90" t="str">
        <f t="shared" si="27"/>
        <v>CR-09</v>
      </c>
      <c r="C222" s="90">
        <f t="shared" si="27"/>
        <v>81031</v>
      </c>
      <c r="D222" s="21">
        <f>+G178</f>
        <v>0.2732</v>
      </c>
      <c r="E222" s="21">
        <f>+G145</f>
        <v>1</v>
      </c>
      <c r="F222" s="21">
        <f t="shared" si="28"/>
        <v>1.04</v>
      </c>
      <c r="G222" s="21">
        <f t="shared" si="28"/>
        <v>1.4132000000000002</v>
      </c>
      <c r="H222" s="21">
        <v>0.1</v>
      </c>
      <c r="I222" s="21">
        <f t="shared" si="29"/>
        <v>0.16391999999999998</v>
      </c>
      <c r="J222" s="21">
        <f t="shared" si="30"/>
        <v>0.40927999999999998</v>
      </c>
      <c r="K222" s="21">
        <f t="shared" si="31"/>
        <v>0.24000000000000044</v>
      </c>
      <c r="L222" s="21">
        <v>0.5</v>
      </c>
    </row>
    <row r="225" spans="11:11">
      <c r="K225" s="17" t="s">
        <v>136</v>
      </c>
    </row>
  </sheetData>
  <autoFilter ref="A40:M44" xr:uid="{00000000-0001-0000-0400-000000000000}"/>
  <mergeCells count="37">
    <mergeCell ref="A182:M182"/>
    <mergeCell ref="D184:D185"/>
    <mergeCell ref="E184:E185"/>
    <mergeCell ref="F184:F185"/>
    <mergeCell ref="G184:G185"/>
    <mergeCell ref="H184:H185"/>
    <mergeCell ref="I184:I185"/>
    <mergeCell ref="S87:S88"/>
    <mergeCell ref="T87:AA87"/>
    <mergeCell ref="A113:M113"/>
    <mergeCell ref="A117:M118"/>
    <mergeCell ref="B140:B141"/>
    <mergeCell ref="C140:C141"/>
    <mergeCell ref="D140:D141"/>
    <mergeCell ref="E140:E141"/>
    <mergeCell ref="F140:F141"/>
    <mergeCell ref="N118:O118"/>
    <mergeCell ref="Q118:R118"/>
    <mergeCell ref="T118:U118"/>
    <mergeCell ref="A2:M2"/>
    <mergeCell ref="A3:M3"/>
    <mergeCell ref="C62:C64"/>
    <mergeCell ref="A74:M75"/>
    <mergeCell ref="I140:I141"/>
    <mergeCell ref="J140:J141"/>
    <mergeCell ref="K140:K141"/>
    <mergeCell ref="B217:B218"/>
    <mergeCell ref="C217:C218"/>
    <mergeCell ref="D217:D218"/>
    <mergeCell ref="E217:E218"/>
    <mergeCell ref="F217:F218"/>
    <mergeCell ref="L217:L218"/>
    <mergeCell ref="G217:G218"/>
    <mergeCell ref="H217:H218"/>
    <mergeCell ref="I217:I218"/>
    <mergeCell ref="J217:J218"/>
    <mergeCell ref="K217:K218"/>
  </mergeCells>
  <conditionalFormatting sqref="L108:L111">
    <cfRule type="cellIs" dxfId="3" priority="1" stopIfTrue="1" operator="greaterThanOrEqual">
      <formula>5</formula>
    </cfRule>
  </conditionalFormatting>
  <printOptions horizontalCentered="1"/>
  <pageMargins left="0.78740157480314965" right="0.78740157480314965" top="1.1811023622047245" bottom="1.1811023622047245" header="0.78740157480314965" footer="0.78740157480314965"/>
  <pageSetup scale="61" fitToHeight="0" orientation="portrait" r:id="rId1"/>
  <rowBreaks count="2" manualBreakCount="2">
    <brk id="71" max="12" man="1"/>
    <brk id="145" max="12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D587D-0E81-42E3-85B2-618E8BADE4A0}">
  <sheetPr>
    <tabColor theme="6" tint="0.39997558519241921"/>
    <pageSetUpPr fitToPage="1"/>
  </sheetPr>
  <dimension ref="A2:IF212"/>
  <sheetViews>
    <sheetView view="pageBreakPreview" topLeftCell="A169" zoomScale="90" zoomScaleNormal="90" zoomScaleSheetLayoutView="90" workbookViewId="0">
      <selection activeCell="A2" sqref="A2:XFD3"/>
    </sheetView>
  </sheetViews>
  <sheetFormatPr baseColWidth="10" defaultColWidth="11.42578125" defaultRowHeight="12"/>
  <cols>
    <col min="1" max="2" width="9.140625" style="17" customWidth="1"/>
    <col min="3" max="3" width="9.5703125" style="17" customWidth="1"/>
    <col min="4" max="4" width="9.28515625" style="17" customWidth="1"/>
    <col min="5" max="5" width="12.140625" style="17" customWidth="1"/>
    <col min="6" max="6" width="11.28515625" style="17" customWidth="1"/>
    <col min="7" max="7" width="14.85546875" style="17" customWidth="1"/>
    <col min="8" max="8" width="12.7109375" style="17" customWidth="1"/>
    <col min="9" max="9" width="10.85546875" style="17" customWidth="1"/>
    <col min="10" max="10" width="11" style="17" customWidth="1"/>
    <col min="11" max="11" width="10.28515625" style="17" customWidth="1"/>
    <col min="12" max="12" width="12.5703125" style="17" customWidth="1"/>
    <col min="13" max="13" width="12.85546875" style="17" customWidth="1"/>
    <col min="14" max="14" width="11.42578125" style="17"/>
    <col min="15" max="16" width="11.85546875" style="17" bestFit="1" customWidth="1"/>
    <col min="17" max="17" width="11.85546875" style="17" customWidth="1"/>
    <col min="18" max="18" width="11.85546875" style="17" bestFit="1" customWidth="1"/>
    <col min="19" max="19" width="16.28515625" style="17" bestFit="1" customWidth="1"/>
    <col min="20" max="20" width="11.85546875" style="17" bestFit="1" customWidth="1"/>
    <col min="21" max="21" width="15.140625" style="17" customWidth="1"/>
    <col min="22" max="22" width="11.5703125" style="17" bestFit="1" customWidth="1"/>
    <col min="23" max="23" width="15" style="17" customWidth="1"/>
    <col min="24" max="24" width="11.5703125" style="17" bestFit="1" customWidth="1"/>
    <col min="25" max="16384" width="11.42578125" style="17"/>
  </cols>
  <sheetData>
    <row r="2" spans="1:13" ht="12.75" customHeight="1">
      <c r="A2" s="302" t="s">
        <v>236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3" spans="1:13" s="56" customFormat="1" ht="12.75" customHeight="1">
      <c r="A3" s="303" t="s">
        <v>344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</row>
    <row r="5" spans="1:13">
      <c r="A5" s="19" t="s">
        <v>78</v>
      </c>
    </row>
    <row r="7" spans="1:13">
      <c r="A7" s="19" t="s">
        <v>0</v>
      </c>
    </row>
    <row r="8" spans="1:13">
      <c r="A8" s="19"/>
    </row>
    <row r="9" spans="1:13">
      <c r="A9" s="19" t="s">
        <v>1</v>
      </c>
    </row>
    <row r="10" spans="1:13" ht="12.75" customHeight="1"/>
    <row r="11" spans="1:13" ht="12.75" customHeight="1"/>
    <row r="12" spans="1:13" ht="12.75" customHeight="1"/>
    <row r="13" spans="1:13">
      <c r="E13" s="20"/>
      <c r="F13" s="20"/>
      <c r="G13" s="18"/>
    </row>
    <row r="14" spans="1:13">
      <c r="D14" s="17" t="s">
        <v>2</v>
      </c>
    </row>
    <row r="15" spans="1:13">
      <c r="E15" s="20"/>
      <c r="F15" s="20"/>
      <c r="G15" s="18"/>
    </row>
    <row r="16" spans="1:13">
      <c r="E16" s="20"/>
      <c r="F16" s="20"/>
      <c r="G16" s="18"/>
    </row>
    <row r="17" spans="1:15">
      <c r="E17" s="20"/>
      <c r="F17" s="20"/>
      <c r="G17" s="18"/>
    </row>
    <row r="18" spans="1:15">
      <c r="E18" s="20"/>
      <c r="F18" s="20"/>
      <c r="G18" s="18"/>
    </row>
    <row r="19" spans="1:15">
      <c r="E19" s="20"/>
      <c r="F19" s="20"/>
      <c r="G19" s="18"/>
    </row>
    <row r="20" spans="1:15">
      <c r="E20" s="20"/>
      <c r="F20" s="20"/>
      <c r="G20" s="18"/>
    </row>
    <row r="21" spans="1:15">
      <c r="E21" s="20"/>
      <c r="F21" s="20"/>
      <c r="G21" s="18"/>
    </row>
    <row r="22" spans="1:15">
      <c r="E22" s="20"/>
      <c r="F22" s="20"/>
      <c r="G22" s="18"/>
    </row>
    <row r="23" spans="1:15" ht="7.5" customHeight="1">
      <c r="E23" s="20"/>
      <c r="F23" s="20"/>
      <c r="G23" s="18"/>
    </row>
    <row r="25" spans="1:15">
      <c r="A25" s="19" t="s">
        <v>3</v>
      </c>
      <c r="G25" s="18"/>
    </row>
    <row r="26" spans="1:15">
      <c r="G26" s="18"/>
    </row>
    <row r="27" spans="1:15">
      <c r="G27" s="18"/>
    </row>
    <row r="28" spans="1:15">
      <c r="G28" s="18"/>
    </row>
    <row r="29" spans="1:15">
      <c r="E29" s="20"/>
      <c r="F29" s="20"/>
      <c r="G29" s="18"/>
    </row>
    <row r="30" spans="1:15">
      <c r="D30" s="17" t="s">
        <v>2</v>
      </c>
      <c r="G30" s="18"/>
      <c r="N30" s="29"/>
      <c r="O30" s="29"/>
    </row>
    <row r="31" spans="1:15">
      <c r="G31" s="18"/>
      <c r="N31" s="29"/>
      <c r="O31" s="29"/>
    </row>
    <row r="32" spans="1:15">
      <c r="E32" s="20"/>
      <c r="F32" s="20"/>
      <c r="G32" s="18"/>
      <c r="N32" s="29"/>
      <c r="O32" s="29"/>
    </row>
    <row r="33" spans="1:22" ht="18.75" customHeight="1">
      <c r="E33" s="22"/>
      <c r="F33" s="22"/>
      <c r="G33" s="18"/>
      <c r="N33" s="29"/>
      <c r="O33" s="29"/>
    </row>
    <row r="34" spans="1:22">
      <c r="A34" s="17" t="s">
        <v>4</v>
      </c>
      <c r="N34" s="29"/>
      <c r="O34" s="29"/>
    </row>
    <row r="35" spans="1:22" ht="16.5" customHeight="1">
      <c r="N35" s="29"/>
      <c r="O35" s="29"/>
    </row>
    <row r="36" spans="1:22">
      <c r="C36" s="23" t="s">
        <v>96</v>
      </c>
      <c r="D36" s="41">
        <v>30</v>
      </c>
      <c r="E36" s="130"/>
      <c r="F36" s="131" t="s">
        <v>97</v>
      </c>
      <c r="G36" s="132">
        <f>D36*PI()/180</f>
        <v>0.52359877559829882</v>
      </c>
      <c r="K36" s="26"/>
    </row>
    <row r="37" spans="1:22" ht="13.5">
      <c r="C37" s="27" t="s">
        <v>5</v>
      </c>
      <c r="D37" s="132">
        <f>(TAN(PI()/4-G36/2))^2</f>
        <v>0.33333333333333343</v>
      </c>
      <c r="E37" s="130"/>
      <c r="F37" s="131" t="s">
        <v>98</v>
      </c>
      <c r="G37" s="54">
        <v>20</v>
      </c>
      <c r="K37" s="26"/>
    </row>
    <row r="38" spans="1:22">
      <c r="C38" s="23" t="s">
        <v>99</v>
      </c>
      <c r="D38" s="25">
        <f>TAN(G36)</f>
        <v>0.57735026918962573</v>
      </c>
      <c r="E38" s="24"/>
      <c r="K38" s="26"/>
    </row>
    <row r="40" spans="1:22" s="31" customFormat="1" ht="36.75" customHeight="1">
      <c r="A40" s="168"/>
      <c r="B40" s="138" t="s">
        <v>128</v>
      </c>
      <c r="C40" s="202" t="s">
        <v>129</v>
      </c>
      <c r="D40" s="202" t="s">
        <v>130</v>
      </c>
      <c r="E40" s="202" t="s">
        <v>209</v>
      </c>
      <c r="F40" s="202" t="s">
        <v>208</v>
      </c>
      <c r="G40" s="202" t="s">
        <v>223</v>
      </c>
      <c r="H40" s="202" t="s">
        <v>207</v>
      </c>
      <c r="I40" s="202" t="s">
        <v>205</v>
      </c>
      <c r="J40" s="204" t="s">
        <v>10</v>
      </c>
      <c r="K40" s="202" t="s">
        <v>206</v>
      </c>
      <c r="L40" s="202" t="s">
        <v>202</v>
      </c>
      <c r="O40" s="138" t="s">
        <v>203</v>
      </c>
      <c r="P40" s="198" t="s">
        <v>11</v>
      </c>
      <c r="Q40" s="137" t="s">
        <v>12</v>
      </c>
      <c r="R40" s="201"/>
      <c r="S40" s="197"/>
      <c r="V40" s="17"/>
    </row>
    <row r="41" spans="1:22" ht="13.5" customHeight="1">
      <c r="A41" s="169"/>
      <c r="B41" s="55" t="s">
        <v>310</v>
      </c>
      <c r="C41" s="178" t="s">
        <v>311</v>
      </c>
      <c r="D41" s="53">
        <v>2</v>
      </c>
      <c r="E41" s="55">
        <v>10</v>
      </c>
      <c r="F41" s="134">
        <f>+INDEX(Especificaciones!$C$5:$C$25,MATCH('Flexible - D P14'!O41,Especificaciones!$B$5:$B$25,-1))</f>
        <v>0.2732</v>
      </c>
      <c r="G41" s="231">
        <v>2739.8</v>
      </c>
      <c r="H41" s="231">
        <v>1.2</v>
      </c>
      <c r="I41" s="53">
        <v>1</v>
      </c>
      <c r="J41" s="32">
        <f t="shared" ref="J41:J42" si="0">IF(I41&gt;=2*F41,H41/F41,(1-EXP(-2*$D$37*$D$38*H41/I41))/(2*$D$37*$D$38))</f>
        <v>4.3923865300146412</v>
      </c>
      <c r="K41" s="135">
        <f t="shared" ref="K41:K42" si="1">IF(I41&gt;=2*F41,J41*$G$37*F41^2,J41*$G$37*I41*F41)</f>
        <v>6.5567999999999991</v>
      </c>
      <c r="L41" s="135" t="s">
        <v>17</v>
      </c>
      <c r="N41" s="38"/>
      <c r="O41" s="55">
        <v>250</v>
      </c>
      <c r="P41" s="21">
        <f t="shared" ref="P41:P42" si="2">+F41+H41+0.1</f>
        <v>1.5731999999999999</v>
      </c>
      <c r="Q41" s="21">
        <f t="shared" ref="Q41:Q42" si="3">P41*1.5</f>
        <v>2.3597999999999999</v>
      </c>
      <c r="R41" s="13"/>
      <c r="S41" s="14"/>
      <c r="T41" s="29"/>
      <c r="U41" s="14"/>
      <c r="V41" s="29"/>
    </row>
    <row r="42" spans="1:22" ht="13.5" customHeight="1">
      <c r="A42" s="169"/>
      <c r="B42" s="55" t="s">
        <v>311</v>
      </c>
      <c r="C42" s="178">
        <v>77724</v>
      </c>
      <c r="D42" s="53">
        <v>8.5</v>
      </c>
      <c r="E42" s="55">
        <v>10</v>
      </c>
      <c r="F42" s="134">
        <f>+INDEX(Especificaciones!$C$5:$C$25,MATCH('Flexible - D P14'!O42,Especificaciones!$B$5:$B$25,-1))</f>
        <v>0.2732</v>
      </c>
      <c r="G42" s="231">
        <v>2739.76</v>
      </c>
      <c r="H42" s="231">
        <v>1.04</v>
      </c>
      <c r="I42" s="53">
        <v>1</v>
      </c>
      <c r="J42" s="32">
        <f t="shared" si="0"/>
        <v>3.8067349926793561</v>
      </c>
      <c r="K42" s="135">
        <f t="shared" si="1"/>
        <v>5.6825600000000005</v>
      </c>
      <c r="L42" s="135" t="s">
        <v>17</v>
      </c>
      <c r="N42" s="38"/>
      <c r="O42" s="55">
        <v>250</v>
      </c>
      <c r="P42" s="21">
        <f t="shared" si="2"/>
        <v>1.4132000000000002</v>
      </c>
      <c r="Q42" s="21">
        <f t="shared" si="3"/>
        <v>2.1198000000000006</v>
      </c>
      <c r="R42" s="13"/>
      <c r="S42" s="14"/>
      <c r="T42" s="29"/>
      <c r="U42" s="14"/>
      <c r="V42" s="29"/>
    </row>
    <row r="43" spans="1:22">
      <c r="A43" s="199"/>
      <c r="B43" s="199"/>
      <c r="C43" s="35"/>
      <c r="D43" s="71"/>
      <c r="E43" s="36"/>
      <c r="F43" s="35"/>
      <c r="H43" s="35"/>
      <c r="I43" s="35"/>
      <c r="J43" s="60"/>
      <c r="K43" s="36"/>
      <c r="L43" s="36"/>
      <c r="M43" s="37"/>
      <c r="N43" s="38"/>
      <c r="O43" s="55"/>
      <c r="P43" s="21"/>
      <c r="Q43" s="21"/>
    </row>
    <row r="44" spans="1:22">
      <c r="A44" s="19" t="s">
        <v>18</v>
      </c>
      <c r="B44" s="39"/>
      <c r="C44" s="19"/>
      <c r="D44" s="19"/>
      <c r="E44" s="19"/>
      <c r="F44" s="19"/>
      <c r="G44" s="19"/>
      <c r="H44" s="19"/>
      <c r="I44" s="19"/>
      <c r="J44" s="19"/>
      <c r="K44" s="19"/>
      <c r="L44" s="19"/>
    </row>
    <row r="45" spans="1:22">
      <c r="A45" s="19"/>
      <c r="B45" s="19"/>
      <c r="C45" s="19"/>
      <c r="D45" s="19"/>
      <c r="E45" s="40"/>
      <c r="F45" s="20"/>
      <c r="G45" s="40"/>
      <c r="H45" s="19"/>
      <c r="I45" s="19"/>
      <c r="J45" s="19"/>
      <c r="K45" s="19"/>
      <c r="L45" s="19"/>
    </row>
    <row r="46" spans="1:22">
      <c r="A46" s="19"/>
      <c r="B46" s="19"/>
      <c r="C46" s="19"/>
      <c r="H46" s="19"/>
      <c r="I46" s="19"/>
      <c r="J46" s="19"/>
      <c r="K46" s="19"/>
      <c r="L46" s="19"/>
      <c r="O46" s="29"/>
    </row>
    <row r="47" spans="1:22">
      <c r="A47" s="19"/>
      <c r="B47" s="19"/>
      <c r="C47" s="19"/>
      <c r="H47" s="19"/>
      <c r="I47" s="19"/>
      <c r="J47" s="19"/>
      <c r="K47" s="19"/>
      <c r="L47" s="19"/>
    </row>
    <row r="48" spans="1:22">
      <c r="B48" s="19"/>
      <c r="C48" s="19"/>
      <c r="H48" s="19"/>
      <c r="I48" s="19"/>
      <c r="J48" s="19"/>
      <c r="K48" s="19"/>
      <c r="L48" s="19"/>
    </row>
    <row r="49" spans="1:26" s="31" customFormat="1" ht="11.25" customHeight="1">
      <c r="A49" s="19"/>
      <c r="B49" s="19"/>
      <c r="C49" s="19"/>
      <c r="D49" s="17" t="s">
        <v>2</v>
      </c>
      <c r="E49" s="19"/>
      <c r="F49" s="19"/>
      <c r="G49" s="19"/>
      <c r="H49" s="19"/>
      <c r="I49" s="19"/>
      <c r="J49" s="19"/>
      <c r="K49" s="19"/>
      <c r="L49" s="19"/>
      <c r="M49" s="17"/>
      <c r="N49" s="17"/>
      <c r="P49" s="17"/>
      <c r="Q49" s="17"/>
      <c r="R49" s="17"/>
      <c r="S49" s="17"/>
      <c r="T49" s="17"/>
      <c r="U49" s="17"/>
      <c r="W49" s="17"/>
      <c r="X49" s="17"/>
      <c r="Y49" s="17"/>
      <c r="Z49" s="17"/>
    </row>
    <row r="50" spans="1:26" s="31" customFormat="1" ht="16.5" customHeight="1">
      <c r="A50" s="19"/>
      <c r="B50" s="19"/>
      <c r="C50" s="19"/>
      <c r="D50" s="17"/>
      <c r="E50" s="40"/>
      <c r="F50" s="40"/>
      <c r="G50" s="40"/>
      <c r="H50" s="19"/>
      <c r="I50" s="19"/>
      <c r="J50" s="19"/>
      <c r="K50" s="19"/>
      <c r="L50" s="19"/>
      <c r="M50" s="17"/>
      <c r="N50" s="17"/>
      <c r="P50" s="17"/>
      <c r="Q50" s="17"/>
      <c r="R50" s="17"/>
      <c r="S50" s="17"/>
      <c r="T50" s="17"/>
      <c r="U50" s="17"/>
      <c r="W50" s="17"/>
      <c r="X50" s="17"/>
      <c r="Y50" s="17"/>
      <c r="Z50" s="17"/>
    </row>
    <row r="51" spans="1:26" s="31" customFormat="1" ht="18.75" customHeight="1">
      <c r="A51" s="19"/>
      <c r="B51" s="19"/>
      <c r="C51" s="19"/>
      <c r="D51" s="17"/>
      <c r="E51" s="40"/>
      <c r="F51" s="40"/>
      <c r="G51" s="40"/>
      <c r="H51" s="19"/>
      <c r="I51" s="19"/>
      <c r="J51" s="19"/>
      <c r="K51" s="19"/>
      <c r="L51" s="19"/>
      <c r="M51" s="17"/>
      <c r="N51" s="17"/>
      <c r="P51" s="17"/>
      <c r="Q51" s="17"/>
      <c r="R51" s="17"/>
      <c r="S51" s="17"/>
      <c r="T51" s="17"/>
      <c r="U51" s="17"/>
      <c r="W51" s="17"/>
      <c r="X51" s="17"/>
      <c r="Y51" s="17"/>
      <c r="Z51" s="17"/>
    </row>
    <row r="52" spans="1:26" s="31" customFormat="1" ht="18.75" customHeight="1">
      <c r="A52" s="19"/>
      <c r="B52" s="19"/>
      <c r="C52" s="19"/>
      <c r="D52" s="17"/>
      <c r="E52" s="40"/>
      <c r="F52" s="40"/>
      <c r="G52" s="40"/>
      <c r="H52" s="19"/>
      <c r="I52" s="19"/>
      <c r="J52" s="19"/>
      <c r="K52" s="19"/>
      <c r="L52" s="19"/>
      <c r="M52" s="17"/>
      <c r="N52" s="17"/>
      <c r="P52" s="17"/>
      <c r="Q52" s="17"/>
      <c r="R52" s="17"/>
      <c r="S52" s="17"/>
      <c r="T52" s="17"/>
      <c r="U52" s="17"/>
      <c r="W52" s="17"/>
      <c r="X52" s="17"/>
      <c r="Y52" s="17"/>
      <c r="Z52" s="17"/>
    </row>
    <row r="53" spans="1:26" s="31" customFormat="1" ht="12.75" customHeight="1">
      <c r="A53" s="19"/>
      <c r="B53" s="19"/>
      <c r="C53" s="19"/>
      <c r="D53" s="19"/>
      <c r="E53" s="40"/>
      <c r="F53" s="40"/>
      <c r="G53" s="40"/>
      <c r="H53" s="19"/>
      <c r="I53" s="19"/>
      <c r="J53" s="19"/>
      <c r="K53" s="19"/>
      <c r="L53" s="19"/>
      <c r="M53" s="17"/>
      <c r="N53" s="17"/>
      <c r="P53" s="17"/>
      <c r="Q53" s="17"/>
      <c r="R53" s="17"/>
      <c r="S53" s="17"/>
      <c r="T53" s="17"/>
      <c r="U53" s="17"/>
      <c r="W53" s="17"/>
      <c r="X53" s="17"/>
      <c r="Y53" s="17"/>
      <c r="Z53" s="17"/>
    </row>
    <row r="54" spans="1:26" s="31" customFormat="1" ht="15" customHeight="1">
      <c r="A54" s="19"/>
      <c r="B54" s="19"/>
      <c r="C54" s="19"/>
      <c r="D54" s="19"/>
      <c r="E54" s="40"/>
      <c r="F54" s="40"/>
      <c r="G54" s="40"/>
      <c r="H54" s="19"/>
      <c r="I54" s="19"/>
      <c r="J54" s="19"/>
      <c r="K54" s="19"/>
      <c r="L54" s="19"/>
      <c r="M54" s="17"/>
      <c r="N54" s="17"/>
      <c r="P54" s="17"/>
      <c r="Q54" s="17"/>
      <c r="R54" s="17"/>
      <c r="S54" s="17"/>
      <c r="T54" s="17"/>
      <c r="U54" s="17"/>
      <c r="W54" s="17"/>
      <c r="X54" s="17"/>
      <c r="Y54" s="17"/>
      <c r="Z54" s="17"/>
    </row>
    <row r="55" spans="1:26" ht="7.5" customHeight="1">
      <c r="A55" s="19"/>
      <c r="B55" s="19"/>
      <c r="C55" s="19"/>
      <c r="D55" s="19"/>
      <c r="E55" s="40"/>
      <c r="F55" s="40"/>
      <c r="G55" s="40"/>
      <c r="H55" s="19"/>
      <c r="I55" s="19"/>
      <c r="J55" s="19"/>
      <c r="K55" s="19"/>
      <c r="L55" s="19"/>
      <c r="M55" s="19"/>
    </row>
    <row r="56" spans="1:26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</row>
    <row r="57" spans="1:26">
      <c r="A57" s="17" t="s">
        <v>19</v>
      </c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</row>
    <row r="58" spans="1:26"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</row>
    <row r="59" spans="1:26">
      <c r="C59" s="139" t="s">
        <v>20</v>
      </c>
      <c r="D59" s="41">
        <v>80</v>
      </c>
      <c r="F59" s="19"/>
      <c r="G59" s="19"/>
      <c r="H59" s="19"/>
      <c r="I59" s="19"/>
      <c r="J59" s="19"/>
      <c r="K59" s="19"/>
      <c r="L59" s="19"/>
      <c r="M59" s="19"/>
    </row>
    <row r="60" spans="1:26">
      <c r="C60" s="295" t="s">
        <v>21</v>
      </c>
      <c r="D60" s="4">
        <v>1.2</v>
      </c>
      <c r="E60" s="1" t="s">
        <v>174</v>
      </c>
      <c r="F60" s="19"/>
      <c r="G60" s="19"/>
      <c r="H60" s="19"/>
      <c r="I60" s="19"/>
      <c r="J60" s="19"/>
      <c r="K60" s="19"/>
      <c r="L60" s="19"/>
      <c r="M60" s="19"/>
    </row>
    <row r="61" spans="1:26">
      <c r="C61" s="296"/>
      <c r="D61" s="4">
        <v>1.1000000000000001</v>
      </c>
      <c r="E61" s="1" t="s">
        <v>22</v>
      </c>
      <c r="F61" s="19"/>
      <c r="G61" s="19"/>
      <c r="H61" s="19"/>
      <c r="I61" s="19"/>
      <c r="J61" s="19"/>
      <c r="K61" s="19"/>
      <c r="L61" s="19"/>
      <c r="M61" s="19"/>
    </row>
    <row r="62" spans="1:26">
      <c r="C62" s="297"/>
      <c r="D62" s="42">
        <v>1</v>
      </c>
      <c r="E62" s="1" t="s">
        <v>175</v>
      </c>
      <c r="M62" s="19"/>
    </row>
    <row r="63" spans="1:26">
      <c r="M63" s="19"/>
    </row>
    <row r="64" spans="1:26" s="31" customFormat="1" ht="30" customHeight="1">
      <c r="A64" s="168"/>
      <c r="B64" s="138" t="str">
        <f>B$40</f>
        <v>Pozo de</v>
      </c>
      <c r="C64" s="202" t="str">
        <f>C$40</f>
        <v>Pozo a</v>
      </c>
      <c r="D64" s="202" t="s">
        <v>130</v>
      </c>
      <c r="E64" s="202" t="s">
        <v>209</v>
      </c>
      <c r="F64" s="202" t="s">
        <v>204</v>
      </c>
      <c r="G64" s="204" t="s">
        <v>134</v>
      </c>
      <c r="H64" s="202" t="s">
        <v>205</v>
      </c>
      <c r="I64" s="202" t="s">
        <v>224</v>
      </c>
      <c r="J64" s="202" t="s">
        <v>225</v>
      </c>
      <c r="K64" s="202" t="s">
        <v>210</v>
      </c>
      <c r="L64" s="202" t="s">
        <v>211</v>
      </c>
      <c r="N64" s="200" t="s">
        <v>23</v>
      </c>
      <c r="W64" s="17"/>
      <c r="X64" s="17"/>
    </row>
    <row r="65" spans="1:26" s="74" customFormat="1" ht="12" customHeight="1">
      <c r="A65" s="169"/>
      <c r="B65" s="140" t="str">
        <f t="shared" ref="B65:F66" si="4">+B41</f>
        <v>CR-12</v>
      </c>
      <c r="C65" s="140" t="str">
        <f t="shared" si="4"/>
        <v>CS-01</v>
      </c>
      <c r="D65" s="135">
        <f t="shared" si="4"/>
        <v>2</v>
      </c>
      <c r="E65" s="95">
        <f t="shared" si="4"/>
        <v>10</v>
      </c>
      <c r="F65" s="135">
        <f t="shared" si="4"/>
        <v>0.2732</v>
      </c>
      <c r="G65" s="135">
        <f>+H41</f>
        <v>1.2</v>
      </c>
      <c r="H65" s="135">
        <f>+I41</f>
        <v>1</v>
      </c>
      <c r="I65" s="135">
        <f t="shared" ref="I65:I66" si="5">0.5+1.75*G65</f>
        <v>2.6</v>
      </c>
      <c r="J65" s="135">
        <f t="shared" ref="J65:J66" si="6">0.25+1.75*G65</f>
        <v>2.35</v>
      </c>
      <c r="K65" s="135">
        <f t="shared" ref="K65:K66" si="7">I65+1.75*(3*F65/4)</f>
        <v>2.9585750000000002</v>
      </c>
      <c r="L65" s="96">
        <f t="shared" ref="L65:L66" si="8">$D$59*CHOOSE(N65,$D$60,$D$61,$D$62)/K65</f>
        <v>27.040044616073615</v>
      </c>
      <c r="M65" s="17"/>
      <c r="N65" s="75">
        <f t="shared" ref="N65:N66" si="9">IF(G65&lt;0.6,1,IF(G65&lt;0.91,2,3))</f>
        <v>3</v>
      </c>
    </row>
    <row r="66" spans="1:26" s="74" customFormat="1" ht="12" customHeight="1">
      <c r="A66" s="169"/>
      <c r="B66" s="140" t="str">
        <f t="shared" si="4"/>
        <v>CS-01</v>
      </c>
      <c r="C66" s="140">
        <f t="shared" si="4"/>
        <v>77724</v>
      </c>
      <c r="D66" s="135">
        <f t="shared" si="4"/>
        <v>8.5</v>
      </c>
      <c r="E66" s="95">
        <f t="shared" si="4"/>
        <v>10</v>
      </c>
      <c r="F66" s="135">
        <f t="shared" si="4"/>
        <v>0.2732</v>
      </c>
      <c r="G66" s="135">
        <f>+H42</f>
        <v>1.04</v>
      </c>
      <c r="H66" s="135">
        <f>+I42</f>
        <v>1</v>
      </c>
      <c r="I66" s="135">
        <f t="shared" si="5"/>
        <v>2.3200000000000003</v>
      </c>
      <c r="J66" s="135">
        <f t="shared" si="6"/>
        <v>2.0700000000000003</v>
      </c>
      <c r="K66" s="135">
        <f t="shared" si="7"/>
        <v>2.6785750000000004</v>
      </c>
      <c r="L66" s="96">
        <f t="shared" si="8"/>
        <v>29.866626844497535</v>
      </c>
      <c r="M66" s="17"/>
      <c r="N66" s="75">
        <f t="shared" si="9"/>
        <v>3</v>
      </c>
    </row>
    <row r="67" spans="1:26" s="74" customFormat="1" ht="11.25">
      <c r="E67" s="77"/>
      <c r="F67" s="78"/>
      <c r="G67" s="79"/>
      <c r="H67" s="79"/>
      <c r="I67" s="80"/>
      <c r="J67" s="80"/>
      <c r="K67" s="80"/>
    </row>
    <row r="68" spans="1:26">
      <c r="A68" s="19" t="s">
        <v>24</v>
      </c>
      <c r="D68" s="37"/>
      <c r="E68" s="30"/>
      <c r="F68" s="43"/>
      <c r="G68" s="43"/>
      <c r="H68" s="36"/>
      <c r="I68" s="36"/>
      <c r="J68" s="36"/>
    </row>
    <row r="69" spans="1:26">
      <c r="D69" s="37"/>
      <c r="E69" s="30"/>
      <c r="F69" s="43"/>
      <c r="G69" s="43"/>
      <c r="H69" s="36"/>
      <c r="I69" s="36"/>
      <c r="J69" s="36"/>
    </row>
    <row r="70" spans="1:26">
      <c r="A70" s="298" t="s">
        <v>116</v>
      </c>
      <c r="B70" s="298"/>
      <c r="C70" s="298"/>
      <c r="D70" s="298"/>
      <c r="E70" s="298"/>
      <c r="F70" s="298"/>
      <c r="G70" s="298"/>
      <c r="H70" s="298"/>
      <c r="I70" s="298"/>
      <c r="J70" s="298"/>
      <c r="K70" s="298"/>
      <c r="L70" s="298"/>
      <c r="M70" s="298"/>
    </row>
    <row r="71" spans="1:26">
      <c r="A71" s="298"/>
      <c r="B71" s="298"/>
      <c r="C71" s="298"/>
      <c r="D71" s="298"/>
      <c r="E71" s="298"/>
      <c r="F71" s="298"/>
      <c r="G71" s="298"/>
      <c r="H71" s="298"/>
      <c r="I71" s="298"/>
      <c r="J71" s="298"/>
      <c r="K71" s="298"/>
      <c r="L71" s="298"/>
      <c r="M71" s="298"/>
    </row>
    <row r="72" spans="1:26">
      <c r="D72" s="37"/>
      <c r="E72" s="30"/>
      <c r="F72" s="43"/>
      <c r="G72" s="43"/>
      <c r="H72" s="36"/>
      <c r="I72" s="36"/>
      <c r="J72" s="36"/>
    </row>
    <row r="73" spans="1:26">
      <c r="D73" s="37"/>
      <c r="E73" s="30"/>
      <c r="F73" s="43"/>
      <c r="G73" s="43"/>
      <c r="H73" s="36"/>
      <c r="I73" s="36"/>
      <c r="J73" s="36"/>
      <c r="P73" s="19"/>
      <c r="Q73" s="19"/>
      <c r="R73" s="19"/>
      <c r="S73" s="19"/>
      <c r="T73" s="19"/>
      <c r="U73" s="19"/>
      <c r="V73" s="19"/>
      <c r="Y73" s="19"/>
      <c r="Z73" s="19"/>
    </row>
    <row r="74" spans="1:26">
      <c r="D74" s="37"/>
      <c r="E74" s="30"/>
      <c r="F74" s="43"/>
      <c r="G74" s="43"/>
      <c r="H74" s="36"/>
      <c r="I74" s="36"/>
      <c r="J74" s="36"/>
      <c r="P74" s="19"/>
      <c r="Q74" s="19"/>
      <c r="R74" s="19"/>
      <c r="S74" s="19"/>
      <c r="T74" s="19"/>
      <c r="U74" s="19"/>
      <c r="V74" s="19"/>
      <c r="Y74" s="19"/>
      <c r="Z74" s="19"/>
    </row>
    <row r="75" spans="1:26">
      <c r="D75" s="37"/>
      <c r="E75" s="30"/>
      <c r="F75" s="43"/>
      <c r="G75" s="43"/>
      <c r="H75" s="36"/>
      <c r="I75" s="36"/>
      <c r="J75" s="36"/>
      <c r="P75" s="19"/>
      <c r="Q75" s="19"/>
      <c r="R75" s="19"/>
      <c r="S75" s="19"/>
      <c r="T75" s="19"/>
      <c r="U75" s="19"/>
      <c r="V75" s="19"/>
      <c r="Y75" s="19"/>
      <c r="Z75" s="19"/>
    </row>
    <row r="76" spans="1:26">
      <c r="D76" s="37"/>
      <c r="E76" s="30"/>
      <c r="F76" s="43"/>
      <c r="G76" s="43"/>
      <c r="H76" s="36"/>
      <c r="I76" s="36"/>
      <c r="J76" s="36"/>
      <c r="P76" s="19"/>
      <c r="Q76" s="19"/>
      <c r="R76" s="19"/>
      <c r="S76" s="19"/>
      <c r="T76" s="19"/>
      <c r="U76" s="19"/>
      <c r="V76" s="19"/>
      <c r="Y76" s="19"/>
      <c r="Z76" s="19"/>
    </row>
    <row r="77" spans="1:26">
      <c r="A77" s="17" t="s">
        <v>2</v>
      </c>
      <c r="D77" s="37"/>
      <c r="E77" s="30"/>
      <c r="F77" s="43"/>
      <c r="G77" s="43"/>
      <c r="H77" s="36"/>
      <c r="I77" s="36"/>
      <c r="J77" s="36"/>
      <c r="P77" s="19"/>
      <c r="Q77" s="19"/>
      <c r="R77" s="19"/>
      <c r="S77" s="19"/>
      <c r="T77" s="19"/>
      <c r="U77" s="19"/>
      <c r="V77" s="19"/>
      <c r="Y77" s="19"/>
      <c r="Z77" s="19"/>
    </row>
    <row r="78" spans="1:26">
      <c r="C78" s="44" t="s">
        <v>100</v>
      </c>
      <c r="D78" s="45" t="s">
        <v>25</v>
      </c>
      <c r="E78" s="30"/>
      <c r="F78" s="43"/>
      <c r="G78" s="43"/>
      <c r="H78" s="36"/>
      <c r="I78" s="36"/>
      <c r="J78" s="36"/>
      <c r="O78" s="72"/>
      <c r="P78" s="154"/>
      <c r="Q78" s="154"/>
      <c r="R78" s="154"/>
      <c r="S78" s="19"/>
      <c r="T78" s="19"/>
      <c r="U78" s="19"/>
      <c r="V78" s="19"/>
      <c r="Y78" s="19"/>
      <c r="Z78" s="19"/>
    </row>
    <row r="79" spans="1:26">
      <c r="C79" s="44" t="s">
        <v>101</v>
      </c>
      <c r="D79" s="45" t="s">
        <v>27</v>
      </c>
      <c r="E79" s="30"/>
      <c r="F79" s="43"/>
      <c r="G79" s="43"/>
      <c r="H79" s="36"/>
      <c r="I79" s="36"/>
      <c r="J79" s="36"/>
      <c r="O79" s="199"/>
      <c r="P79" s="155"/>
      <c r="Q79" s="154"/>
      <c r="R79" s="154"/>
      <c r="S79" s="19"/>
      <c r="T79" s="19"/>
      <c r="U79" s="19"/>
      <c r="V79" s="19"/>
      <c r="W79" s="19"/>
      <c r="X79" s="19"/>
      <c r="Y79" s="19"/>
      <c r="Z79" s="19"/>
    </row>
    <row r="80" spans="1:26">
      <c r="C80" s="17" t="s">
        <v>26</v>
      </c>
      <c r="D80" s="45" t="s">
        <v>76</v>
      </c>
      <c r="E80" s="30"/>
      <c r="F80" s="43"/>
      <c r="G80" s="43"/>
      <c r="H80" s="36"/>
      <c r="I80" s="36"/>
      <c r="J80" s="36"/>
      <c r="O80" s="72"/>
      <c r="P80" s="155"/>
      <c r="Q80" s="154"/>
      <c r="R80" s="154"/>
      <c r="S80" s="19"/>
      <c r="T80" s="19"/>
      <c r="U80" s="19"/>
      <c r="V80" s="19"/>
      <c r="W80" s="19"/>
      <c r="X80" s="19"/>
      <c r="Y80" s="19"/>
      <c r="Z80" s="19"/>
    </row>
    <row r="81" spans="1:240" ht="13.5">
      <c r="C81" s="46" t="s">
        <v>102</v>
      </c>
      <c r="D81" s="45" t="s">
        <v>28</v>
      </c>
      <c r="E81" s="30"/>
      <c r="F81" s="43"/>
      <c r="G81" s="43"/>
      <c r="H81" s="36"/>
      <c r="I81" s="36"/>
      <c r="J81" s="36"/>
      <c r="O81" s="72"/>
      <c r="P81" s="155"/>
      <c r="Q81" s="154"/>
      <c r="R81" s="154"/>
    </row>
    <row r="82" spans="1:240">
      <c r="C82" s="17" t="s">
        <v>29</v>
      </c>
      <c r="D82" s="45" t="s">
        <v>30</v>
      </c>
      <c r="E82" s="30"/>
      <c r="F82" s="43"/>
      <c r="G82" s="43"/>
      <c r="H82" s="36"/>
      <c r="I82" s="36"/>
      <c r="J82" s="36"/>
      <c r="O82" s="72"/>
      <c r="P82" s="72"/>
      <c r="Q82" s="72"/>
      <c r="R82" s="72"/>
    </row>
    <row r="83" spans="1:240">
      <c r="C83" s="17" t="s">
        <v>31</v>
      </c>
      <c r="D83" s="45" t="s">
        <v>32</v>
      </c>
      <c r="E83" s="30"/>
      <c r="F83" s="43"/>
      <c r="G83" s="43"/>
      <c r="H83" s="36"/>
      <c r="I83" s="36"/>
      <c r="J83" s="36"/>
      <c r="O83" s="72"/>
      <c r="P83" s="72"/>
      <c r="Q83" s="72"/>
      <c r="R83" s="72"/>
      <c r="S83" s="301" t="s">
        <v>50</v>
      </c>
      <c r="T83" s="301" t="s">
        <v>51</v>
      </c>
      <c r="U83" s="301"/>
      <c r="V83" s="301"/>
      <c r="W83" s="301"/>
      <c r="X83" s="301"/>
      <c r="Y83" s="301"/>
      <c r="Z83" s="301"/>
      <c r="AA83" s="301"/>
    </row>
    <row r="84" spans="1:240">
      <c r="D84" s="45" t="s">
        <v>33</v>
      </c>
      <c r="E84" s="30"/>
      <c r="F84" s="43"/>
      <c r="G84" s="43"/>
      <c r="H84" s="36"/>
      <c r="I84" s="36"/>
      <c r="J84" s="36"/>
      <c r="O84" s="19"/>
      <c r="S84" s="301"/>
      <c r="T84" s="116">
        <v>1.25</v>
      </c>
      <c r="U84" s="116">
        <v>1.5</v>
      </c>
      <c r="V84" s="116">
        <v>1.75</v>
      </c>
      <c r="W84" s="116">
        <v>2</v>
      </c>
      <c r="X84" s="116">
        <v>2.5</v>
      </c>
      <c r="Y84" s="116">
        <v>3</v>
      </c>
      <c r="Z84" s="116">
        <v>4</v>
      </c>
      <c r="AA84" s="116">
        <v>5</v>
      </c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  <c r="HN84" s="19"/>
      <c r="HO84" s="19"/>
      <c r="HP84" s="19"/>
      <c r="HQ84" s="19"/>
      <c r="HR84" s="19"/>
      <c r="HS84" s="19"/>
      <c r="HT84" s="19"/>
      <c r="HU84" s="19"/>
      <c r="HV84" s="19"/>
      <c r="HW84" s="19"/>
      <c r="HX84" s="19"/>
      <c r="HY84" s="19"/>
      <c r="HZ84" s="19"/>
      <c r="IA84" s="19"/>
      <c r="IB84" s="19"/>
      <c r="IC84" s="19"/>
      <c r="ID84" s="19"/>
      <c r="IE84" s="19"/>
      <c r="IF84" s="19"/>
    </row>
    <row r="85" spans="1:240">
      <c r="C85" s="17" t="s">
        <v>34</v>
      </c>
      <c r="D85" s="45" t="s">
        <v>35</v>
      </c>
      <c r="E85" s="30"/>
      <c r="F85" s="43"/>
      <c r="G85" s="43"/>
      <c r="H85" s="36"/>
      <c r="I85" s="36"/>
      <c r="J85" s="36"/>
      <c r="O85" s="19"/>
      <c r="S85" s="196">
        <v>5.0000000000000001E-3</v>
      </c>
      <c r="T85" s="21">
        <v>0.02</v>
      </c>
      <c r="U85" s="21">
        <v>0.05</v>
      </c>
      <c r="V85" s="21">
        <v>0.08</v>
      </c>
      <c r="W85" s="21">
        <v>0.12</v>
      </c>
      <c r="X85" s="21">
        <v>0.23</v>
      </c>
      <c r="Y85" s="21">
        <v>0.43</v>
      </c>
      <c r="Z85" s="21">
        <v>0.72</v>
      </c>
      <c r="AA85" s="21">
        <v>1</v>
      </c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  <c r="HN85" s="19"/>
      <c r="HO85" s="19"/>
      <c r="HP85" s="19"/>
      <c r="HQ85" s="19"/>
      <c r="HR85" s="19"/>
      <c r="HS85" s="19"/>
      <c r="HT85" s="19"/>
      <c r="HU85" s="19"/>
      <c r="HV85" s="19"/>
      <c r="HW85" s="19"/>
      <c r="HX85" s="19"/>
      <c r="HY85" s="19"/>
      <c r="HZ85" s="19"/>
      <c r="IA85" s="19"/>
      <c r="IB85" s="19"/>
      <c r="IC85" s="19"/>
      <c r="ID85" s="19"/>
      <c r="IE85" s="19"/>
      <c r="IF85" s="19"/>
    </row>
    <row r="86" spans="1:240">
      <c r="C86" s="17" t="s">
        <v>36</v>
      </c>
      <c r="D86" s="45" t="s">
        <v>37</v>
      </c>
      <c r="E86" s="30"/>
      <c r="F86" s="43"/>
      <c r="G86" s="43"/>
      <c r="H86" s="36"/>
      <c r="I86" s="36"/>
      <c r="J86" s="36"/>
      <c r="O86" s="19"/>
      <c r="S86" s="196">
        <v>0.01</v>
      </c>
      <c r="T86" s="21">
        <v>0.03</v>
      </c>
      <c r="U86" s="21">
        <v>7.0000000000000007E-2</v>
      </c>
      <c r="V86" s="21">
        <v>0.11</v>
      </c>
      <c r="W86" s="21">
        <v>0.15</v>
      </c>
      <c r="X86" s="21">
        <v>0.27</v>
      </c>
      <c r="Y86" s="21">
        <v>0.47</v>
      </c>
      <c r="Z86" s="21">
        <v>0.74</v>
      </c>
      <c r="AA86" s="21">
        <v>1</v>
      </c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  <c r="HM86" s="19"/>
      <c r="HN86" s="19"/>
      <c r="HO86" s="19"/>
      <c r="HP86" s="19"/>
      <c r="HQ86" s="19"/>
      <c r="HR86" s="19"/>
      <c r="HS86" s="19"/>
      <c r="HT86" s="19"/>
      <c r="HU86" s="19"/>
      <c r="HV86" s="19"/>
      <c r="HW86" s="19"/>
      <c r="HX86" s="19"/>
      <c r="HY86" s="19"/>
      <c r="HZ86" s="19"/>
      <c r="IA86" s="19"/>
      <c r="IB86" s="19"/>
      <c r="IC86" s="19"/>
      <c r="ID86" s="19"/>
      <c r="IE86" s="19"/>
      <c r="IF86" s="19"/>
    </row>
    <row r="87" spans="1:240" ht="13.5">
      <c r="C87" s="17" t="s">
        <v>38</v>
      </c>
      <c r="D87" s="45" t="s">
        <v>103</v>
      </c>
      <c r="E87" s="30"/>
      <c r="F87" s="43"/>
      <c r="G87" s="43"/>
      <c r="H87" s="36"/>
      <c r="I87" s="36"/>
      <c r="J87" s="36"/>
      <c r="O87" s="19"/>
      <c r="S87" s="196">
        <v>0.02</v>
      </c>
      <c r="T87" s="21">
        <v>0.05</v>
      </c>
      <c r="U87" s="21">
        <v>0.1</v>
      </c>
      <c r="V87" s="21">
        <v>0.15</v>
      </c>
      <c r="W87" s="21">
        <v>0.2</v>
      </c>
      <c r="X87" s="21">
        <v>0.32</v>
      </c>
      <c r="Y87" s="21">
        <v>0.52</v>
      </c>
      <c r="Z87" s="21">
        <v>0.77</v>
      </c>
      <c r="AA87" s="21">
        <v>1</v>
      </c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  <c r="HK87" s="19"/>
      <c r="HL87" s="19"/>
      <c r="HM87" s="19"/>
      <c r="HN87" s="19"/>
      <c r="HO87" s="19"/>
      <c r="HP87" s="19"/>
      <c r="HQ87" s="19"/>
      <c r="HR87" s="19"/>
      <c r="HS87" s="19"/>
      <c r="HT87" s="19"/>
      <c r="HU87" s="19"/>
      <c r="HV87" s="19"/>
      <c r="HW87" s="19"/>
      <c r="HX87" s="19"/>
      <c r="HY87" s="19"/>
      <c r="HZ87" s="19"/>
      <c r="IA87" s="19"/>
      <c r="IB87" s="19"/>
      <c r="IC87" s="19"/>
      <c r="ID87" s="19"/>
      <c r="IE87" s="19"/>
    </row>
    <row r="88" spans="1:240">
      <c r="C88" s="17" t="s">
        <v>39</v>
      </c>
      <c r="D88" s="45" t="s">
        <v>40</v>
      </c>
      <c r="E88" s="30"/>
      <c r="F88" s="43"/>
      <c r="G88" s="43"/>
      <c r="H88" s="36"/>
      <c r="I88" s="36"/>
      <c r="J88" s="36"/>
      <c r="O88" s="19"/>
      <c r="S88" s="196">
        <v>0.05</v>
      </c>
      <c r="T88" s="21">
        <v>0.1</v>
      </c>
      <c r="U88" s="21">
        <v>0.15</v>
      </c>
      <c r="V88" s="21">
        <v>0.2</v>
      </c>
      <c r="W88" s="21">
        <v>0.27</v>
      </c>
      <c r="X88" s="21">
        <v>0.38</v>
      </c>
      <c r="Y88" s="21">
        <v>0.57999999999999996</v>
      </c>
      <c r="Z88" s="21">
        <v>0.8</v>
      </c>
      <c r="AA88" s="21">
        <v>1</v>
      </c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  <c r="HO88" s="19"/>
      <c r="HP88" s="19"/>
      <c r="HQ88" s="19"/>
      <c r="HR88" s="19"/>
      <c r="HS88" s="19"/>
      <c r="HT88" s="19"/>
      <c r="HU88" s="19"/>
      <c r="HV88" s="19"/>
      <c r="HW88" s="19"/>
      <c r="HX88" s="19"/>
      <c r="HY88" s="19"/>
      <c r="HZ88" s="19"/>
      <c r="IA88" s="19"/>
      <c r="IB88" s="19"/>
      <c r="IC88" s="19"/>
      <c r="ID88" s="19"/>
      <c r="IE88" s="19"/>
      <c r="IF88" s="19"/>
    </row>
    <row r="89" spans="1:240">
      <c r="D89" s="45" t="s">
        <v>199</v>
      </c>
      <c r="E89" s="30"/>
      <c r="F89" s="43"/>
      <c r="G89" s="43"/>
      <c r="H89" s="36"/>
      <c r="I89" s="36"/>
      <c r="J89" s="36"/>
      <c r="O89" s="19"/>
      <c r="S89" s="115">
        <v>0.1</v>
      </c>
      <c r="T89" s="21">
        <v>0.15</v>
      </c>
      <c r="U89" s="21">
        <v>0.2</v>
      </c>
      <c r="V89" s="21">
        <v>0.27</v>
      </c>
      <c r="W89" s="21">
        <v>0.35</v>
      </c>
      <c r="X89" s="21">
        <v>0.46</v>
      </c>
      <c r="Y89" s="21">
        <v>0.65</v>
      </c>
      <c r="Z89" s="21">
        <v>0.84</v>
      </c>
      <c r="AA89" s="21">
        <v>1</v>
      </c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</row>
    <row r="90" spans="1:240">
      <c r="D90" s="45" t="s">
        <v>200</v>
      </c>
      <c r="E90" s="30"/>
      <c r="F90" s="43"/>
      <c r="G90" s="43"/>
      <c r="H90" s="36"/>
      <c r="I90" s="36"/>
      <c r="J90" s="36"/>
      <c r="O90" s="19"/>
      <c r="S90" s="115">
        <v>0.2</v>
      </c>
      <c r="T90" s="21">
        <v>0.25</v>
      </c>
      <c r="U90" s="21">
        <v>0.3</v>
      </c>
      <c r="V90" s="21">
        <v>0.38</v>
      </c>
      <c r="W90" s="21">
        <v>0.47</v>
      </c>
      <c r="X90" s="21">
        <v>0.57999999999999996</v>
      </c>
      <c r="Y90" s="21">
        <v>0.75</v>
      </c>
      <c r="Z90" s="21">
        <v>0.88</v>
      </c>
      <c r="AA90" s="21">
        <v>1</v>
      </c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</row>
    <row r="91" spans="1:240">
      <c r="D91" s="45" t="s">
        <v>201</v>
      </c>
      <c r="E91" s="30"/>
      <c r="F91" s="43"/>
      <c r="G91" s="43"/>
      <c r="H91" s="36"/>
      <c r="I91" s="36"/>
      <c r="J91" s="36"/>
      <c r="O91" s="19"/>
      <c r="S91" s="115">
        <v>0.4</v>
      </c>
      <c r="T91" s="21">
        <v>0.45</v>
      </c>
      <c r="U91" s="21">
        <v>0.5</v>
      </c>
      <c r="V91" s="21">
        <v>0.56000000000000005</v>
      </c>
      <c r="W91" s="21">
        <v>0.64</v>
      </c>
      <c r="X91" s="21">
        <v>0.75</v>
      </c>
      <c r="Y91" s="21">
        <v>0.85</v>
      </c>
      <c r="Z91" s="21">
        <v>0.93</v>
      </c>
      <c r="AA91" s="21">
        <v>1</v>
      </c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  <c r="HY91" s="19"/>
      <c r="HZ91" s="19"/>
      <c r="IA91" s="19"/>
      <c r="IB91" s="19"/>
      <c r="IC91" s="19"/>
      <c r="ID91" s="19"/>
      <c r="IE91" s="19"/>
      <c r="IF91" s="19"/>
    </row>
    <row r="92" spans="1:240">
      <c r="D92" s="45"/>
      <c r="E92" s="30"/>
      <c r="F92" s="43"/>
      <c r="G92" s="43"/>
      <c r="H92" s="36"/>
      <c r="I92" s="36"/>
      <c r="J92" s="36"/>
      <c r="O92" s="19"/>
      <c r="S92" s="115">
        <v>0.6</v>
      </c>
      <c r="T92" s="21">
        <v>0.65</v>
      </c>
      <c r="U92" s="21">
        <v>0.7</v>
      </c>
      <c r="V92" s="21">
        <v>0.75</v>
      </c>
      <c r="W92" s="21">
        <v>0.81</v>
      </c>
      <c r="X92" s="21">
        <v>0.87</v>
      </c>
      <c r="Y92" s="21">
        <v>0.94</v>
      </c>
      <c r="Z92" s="21">
        <v>0.98</v>
      </c>
      <c r="AA92" s="21">
        <v>1</v>
      </c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  <c r="HM92" s="19"/>
      <c r="HN92" s="19"/>
      <c r="HO92" s="19"/>
      <c r="HP92" s="19"/>
      <c r="HQ92" s="19"/>
      <c r="HR92" s="19"/>
      <c r="HS92" s="19"/>
      <c r="HT92" s="19"/>
      <c r="HU92" s="19"/>
      <c r="HV92" s="19"/>
      <c r="HW92" s="19"/>
      <c r="HX92" s="19"/>
      <c r="HY92" s="19"/>
      <c r="HZ92" s="19"/>
      <c r="IA92" s="19"/>
      <c r="IB92" s="19"/>
      <c r="IC92" s="19"/>
      <c r="ID92" s="19"/>
      <c r="IE92" s="19"/>
      <c r="IF92" s="19"/>
    </row>
    <row r="93" spans="1:240">
      <c r="D93" s="37"/>
      <c r="E93" s="30"/>
      <c r="F93" s="43"/>
      <c r="G93" s="43"/>
      <c r="H93" s="36"/>
      <c r="I93" s="36"/>
      <c r="J93" s="36"/>
      <c r="O93" s="196" t="s">
        <v>198</v>
      </c>
      <c r="P93" s="196" t="s">
        <v>46</v>
      </c>
      <c r="Q93" s="196" t="s">
        <v>197</v>
      </c>
      <c r="S93" s="115">
        <v>0.8</v>
      </c>
      <c r="T93" s="21">
        <v>0.84</v>
      </c>
      <c r="U93" s="21">
        <v>0.87</v>
      </c>
      <c r="V93" s="21">
        <v>0.9</v>
      </c>
      <c r="W93" s="21">
        <v>0.93</v>
      </c>
      <c r="X93" s="21">
        <v>0.96</v>
      </c>
      <c r="Y93" s="21">
        <v>0.98</v>
      </c>
      <c r="Z93" s="21">
        <v>1</v>
      </c>
      <c r="AA93" s="21">
        <v>1</v>
      </c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</row>
    <row r="94" spans="1:240">
      <c r="A94" s="17" t="s">
        <v>41</v>
      </c>
      <c r="I94" s="36"/>
      <c r="J94" s="36"/>
      <c r="O94" s="198">
        <v>1</v>
      </c>
      <c r="P94" s="198">
        <v>0.105</v>
      </c>
      <c r="Q94" s="198">
        <v>14000</v>
      </c>
      <c r="S94" s="115">
        <v>1</v>
      </c>
      <c r="T94" s="21">
        <v>1</v>
      </c>
      <c r="U94" s="21">
        <v>1</v>
      </c>
      <c r="V94" s="21">
        <v>1</v>
      </c>
      <c r="W94" s="21">
        <v>1</v>
      </c>
      <c r="X94" s="21">
        <v>1</v>
      </c>
      <c r="Y94" s="21">
        <v>1</v>
      </c>
      <c r="Z94" s="21">
        <v>1</v>
      </c>
      <c r="AA94" s="21">
        <v>1</v>
      </c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  <c r="HO94" s="19"/>
      <c r="HP94" s="19"/>
      <c r="HQ94" s="19"/>
      <c r="HR94" s="19"/>
      <c r="HS94" s="19"/>
      <c r="HT94" s="19"/>
      <c r="HU94" s="19"/>
      <c r="HV94" s="19"/>
      <c r="HW94" s="19"/>
      <c r="HX94" s="19"/>
      <c r="HY94" s="19"/>
      <c r="HZ94" s="19"/>
      <c r="IA94" s="19"/>
      <c r="IB94" s="19"/>
      <c r="IC94" s="19"/>
      <c r="ID94" s="19"/>
      <c r="IE94" s="19"/>
      <c r="IF94" s="19"/>
    </row>
    <row r="95" spans="1:240">
      <c r="C95" s="47"/>
      <c r="I95" s="36"/>
      <c r="J95" s="36"/>
      <c r="O95" s="117">
        <v>2</v>
      </c>
      <c r="P95" s="117">
        <v>0.1</v>
      </c>
      <c r="Q95" s="117">
        <v>11000</v>
      </c>
      <c r="S95" s="115">
        <v>1.5</v>
      </c>
      <c r="T95" s="21">
        <v>1.4</v>
      </c>
      <c r="U95" s="21">
        <v>1.3</v>
      </c>
      <c r="V95" s="21">
        <v>1.2</v>
      </c>
      <c r="W95" s="21">
        <v>1.1200000000000001</v>
      </c>
      <c r="X95" s="21">
        <v>1.06</v>
      </c>
      <c r="Y95" s="21">
        <v>1.03</v>
      </c>
      <c r="Z95" s="21">
        <v>1</v>
      </c>
      <c r="AA95" s="21">
        <v>1</v>
      </c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  <c r="HK95" s="19"/>
      <c r="HL95" s="19"/>
      <c r="HM95" s="19"/>
      <c r="HN95" s="19"/>
      <c r="HO95" s="19"/>
      <c r="HP95" s="19"/>
      <c r="HQ95" s="19"/>
      <c r="HR95" s="19"/>
      <c r="HS95" s="19"/>
      <c r="HT95" s="19"/>
      <c r="HU95" s="19"/>
      <c r="HV95" s="19"/>
      <c r="HW95" s="19"/>
      <c r="HX95" s="19"/>
      <c r="HY95" s="19"/>
      <c r="HZ95" s="19"/>
      <c r="IA95" s="19"/>
      <c r="IB95" s="19"/>
      <c r="IC95" s="19"/>
      <c r="ID95" s="19"/>
      <c r="IE95" s="19"/>
      <c r="IF95" s="19"/>
    </row>
    <row r="96" spans="1:240" ht="13.5">
      <c r="B96" s="48" t="s">
        <v>102</v>
      </c>
      <c r="C96" s="49"/>
      <c r="D96" s="41">
        <v>1.5</v>
      </c>
      <c r="E96" s="72"/>
      <c r="F96" s="72"/>
      <c r="G96" s="72"/>
      <c r="H96" s="72"/>
      <c r="I96" s="36"/>
      <c r="J96" s="36"/>
      <c r="K96" s="72"/>
      <c r="L96" s="72"/>
      <c r="O96" s="198">
        <v>3</v>
      </c>
      <c r="P96" s="198">
        <v>9.6000000000000002E-2</v>
      </c>
      <c r="Q96" s="198">
        <v>4000</v>
      </c>
      <c r="S96" s="115">
        <v>2</v>
      </c>
      <c r="T96" s="21">
        <v>1.7</v>
      </c>
      <c r="U96" s="21">
        <v>1.5</v>
      </c>
      <c r="V96" s="21">
        <v>1.4</v>
      </c>
      <c r="W96" s="21">
        <v>1.3</v>
      </c>
      <c r="X96" s="21">
        <v>1.2</v>
      </c>
      <c r="Y96" s="21">
        <v>1.1000000000000001</v>
      </c>
      <c r="Z96" s="21">
        <v>1.05</v>
      </c>
      <c r="AA96" s="21">
        <v>1</v>
      </c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  <c r="HK96" s="19"/>
      <c r="HL96" s="19"/>
      <c r="HM96" s="19"/>
      <c r="HN96" s="19"/>
      <c r="HO96" s="19"/>
      <c r="HP96" s="19"/>
      <c r="HQ96" s="19"/>
      <c r="HR96" s="19"/>
      <c r="HS96" s="19"/>
      <c r="HT96" s="19"/>
      <c r="HU96" s="19"/>
      <c r="HV96" s="19"/>
      <c r="HW96" s="19"/>
      <c r="HX96" s="19"/>
      <c r="HY96" s="19"/>
      <c r="HZ96" s="19"/>
      <c r="IA96" s="19"/>
      <c r="IB96" s="19"/>
      <c r="IC96" s="19"/>
      <c r="ID96" s="19"/>
      <c r="IE96" s="19"/>
      <c r="IF96" s="19"/>
    </row>
    <row r="97" spans="1:240" ht="13.5">
      <c r="B97" s="50" t="s">
        <v>104</v>
      </c>
      <c r="C97" s="51"/>
      <c r="D97" s="53">
        <f>0.149*57</f>
        <v>8.4930000000000003</v>
      </c>
      <c r="E97" s="123" t="s">
        <v>42</v>
      </c>
      <c r="F97" s="72"/>
      <c r="G97" s="72"/>
      <c r="H97" s="72"/>
      <c r="I97" s="36"/>
      <c r="J97" s="36"/>
      <c r="K97" s="72"/>
      <c r="L97" s="72"/>
      <c r="O97" s="198">
        <v>4</v>
      </c>
      <c r="P97" s="198">
        <v>0.1</v>
      </c>
      <c r="Q97" s="198">
        <v>16000</v>
      </c>
      <c r="S97" s="115">
        <v>3</v>
      </c>
      <c r="T97" s="21">
        <v>2.2000000000000002</v>
      </c>
      <c r="U97" s="21">
        <v>1.8</v>
      </c>
      <c r="V97" s="21">
        <v>1.65</v>
      </c>
      <c r="W97" s="21">
        <v>1.5</v>
      </c>
      <c r="X97" s="21">
        <v>1.35</v>
      </c>
      <c r="Y97" s="240">
        <v>1.2</v>
      </c>
      <c r="Z97" s="240">
        <v>1.1000000000000001</v>
      </c>
      <c r="AA97" s="21">
        <v>1</v>
      </c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  <c r="HM97" s="19"/>
      <c r="HN97" s="19"/>
      <c r="HO97" s="19"/>
      <c r="HP97" s="19"/>
      <c r="HQ97" s="19"/>
      <c r="HR97" s="19"/>
      <c r="HS97" s="19"/>
      <c r="HT97" s="19"/>
      <c r="HU97" s="19"/>
      <c r="HV97" s="19"/>
      <c r="HW97" s="19"/>
      <c r="HX97" s="19"/>
      <c r="HY97" s="19"/>
      <c r="HZ97" s="19"/>
      <c r="IA97" s="19"/>
      <c r="IB97" s="19"/>
      <c r="IC97" s="19"/>
      <c r="ID97" s="19"/>
      <c r="IE97" s="19"/>
      <c r="IF97" s="19"/>
    </row>
    <row r="98" spans="1:240" ht="13.5">
      <c r="B98" s="50" t="s">
        <v>105</v>
      </c>
      <c r="C98" s="51"/>
      <c r="D98" s="54">
        <f>D97/14.21*100</f>
        <v>59.767769176636165</v>
      </c>
      <c r="E98" s="123" t="s">
        <v>43</v>
      </c>
      <c r="F98" s="123"/>
      <c r="G98" s="123"/>
      <c r="H98" s="123"/>
      <c r="I98" s="60"/>
      <c r="J98" s="60"/>
      <c r="K98" s="123"/>
      <c r="L98" s="72"/>
      <c r="S98" s="115">
        <v>5</v>
      </c>
      <c r="T98" s="21">
        <v>3</v>
      </c>
      <c r="U98" s="21">
        <v>2.2000000000000002</v>
      </c>
      <c r="V98" s="21">
        <v>1.9</v>
      </c>
      <c r="W98" s="21">
        <v>1.7</v>
      </c>
      <c r="X98" s="21">
        <v>1.5</v>
      </c>
      <c r="Y98" s="21">
        <v>1.3</v>
      </c>
      <c r="Z98" s="21">
        <v>1.1499999999999999</v>
      </c>
      <c r="AA98" s="21">
        <v>1</v>
      </c>
    </row>
    <row r="99" spans="1:240" ht="13.5">
      <c r="B99" s="50" t="s">
        <v>104</v>
      </c>
      <c r="C99" s="51"/>
      <c r="D99" s="53">
        <f>0.149*28</f>
        <v>4.1719999999999997</v>
      </c>
      <c r="E99" s="123" t="s">
        <v>132</v>
      </c>
      <c r="F99" s="123"/>
      <c r="G99" s="123"/>
      <c r="H99" s="123"/>
      <c r="I99" s="60"/>
      <c r="J99" s="60"/>
      <c r="K99" s="123"/>
      <c r="L99" s="72"/>
    </row>
    <row r="100" spans="1:240" ht="13.5">
      <c r="B100" s="50" t="s">
        <v>105</v>
      </c>
      <c r="C100" s="51"/>
      <c r="D100" s="54">
        <f>D99/14.21*100</f>
        <v>29.359605911330043</v>
      </c>
      <c r="E100" s="123" t="s">
        <v>44</v>
      </c>
      <c r="F100" s="123"/>
      <c r="G100" s="123"/>
      <c r="H100" s="123"/>
      <c r="I100" s="60"/>
      <c r="J100" s="60"/>
      <c r="K100" s="123"/>
      <c r="L100" s="72"/>
    </row>
    <row r="101" spans="1:240" ht="13.5">
      <c r="B101" s="50" t="s">
        <v>213</v>
      </c>
      <c r="C101" s="49"/>
      <c r="D101" s="55">
        <v>33000</v>
      </c>
      <c r="E101" s="123" t="s">
        <v>333</v>
      </c>
      <c r="F101" s="123"/>
      <c r="G101" s="123"/>
      <c r="H101" s="123"/>
      <c r="I101" s="60"/>
      <c r="J101" s="60"/>
      <c r="K101" s="123"/>
      <c r="L101" s="72"/>
    </row>
    <row r="102" spans="1:240" s="56" customFormat="1">
      <c r="D102" s="57"/>
      <c r="E102" s="58"/>
      <c r="F102" s="59"/>
      <c r="G102" s="59"/>
      <c r="H102" s="60"/>
      <c r="I102" s="60"/>
      <c r="J102" s="60"/>
      <c r="S102" s="17"/>
      <c r="W102" s="17"/>
      <c r="X102" s="17"/>
    </row>
    <row r="103" spans="1:240" s="31" customFormat="1" ht="25.5">
      <c r="B103" s="202" t="str">
        <f>B$40</f>
        <v>Pozo de</v>
      </c>
      <c r="C103" s="202" t="str">
        <f>C$40</f>
        <v>Pozo a</v>
      </c>
      <c r="D103" s="202" t="s">
        <v>130</v>
      </c>
      <c r="E103" s="202" t="s">
        <v>208</v>
      </c>
      <c r="F103" s="202" t="str">
        <f>I40</f>
        <v>Ancho zanja
Bd (m)</v>
      </c>
      <c r="G103" s="142" t="s">
        <v>212</v>
      </c>
      <c r="H103" s="143" t="s">
        <v>46</v>
      </c>
      <c r="I103" s="202" t="s">
        <v>226</v>
      </c>
      <c r="J103" s="204" t="s">
        <v>47</v>
      </c>
      <c r="K103" s="202" t="s">
        <v>227</v>
      </c>
      <c r="L103" s="144" t="s">
        <v>228</v>
      </c>
      <c r="N103" s="17" t="s">
        <v>50</v>
      </c>
      <c r="O103" s="17" t="s">
        <v>51</v>
      </c>
      <c r="P103" s="61"/>
      <c r="Q103" s="61"/>
      <c r="R103" s="61"/>
      <c r="S103" s="61"/>
      <c r="T103" s="61"/>
      <c r="U103" s="61"/>
      <c r="V103" s="17"/>
      <c r="W103" s="17"/>
      <c r="X103" s="61"/>
      <c r="Y103" s="61"/>
    </row>
    <row r="104" spans="1:240" s="74" customFormat="1">
      <c r="B104" s="140" t="str">
        <f t="shared" ref="B104:D105" si="10">+B65</f>
        <v>CR-12</v>
      </c>
      <c r="C104" s="140" t="str">
        <f t="shared" si="10"/>
        <v>CS-01</v>
      </c>
      <c r="D104" s="135">
        <f t="shared" si="10"/>
        <v>2</v>
      </c>
      <c r="E104" s="135">
        <f>+F65</f>
        <v>0.2732</v>
      </c>
      <c r="F104" s="135">
        <f>+H65</f>
        <v>1</v>
      </c>
      <c r="G104" s="135">
        <f>K41+L65</f>
        <v>33.596844616073611</v>
      </c>
      <c r="H104" s="132">
        <v>0.1</v>
      </c>
      <c r="I104" s="156">
        <v>11000</v>
      </c>
      <c r="J104" s="52">
        <v>1.1299999999999999</v>
      </c>
      <c r="K104" s="140">
        <f t="shared" ref="K104:K105" si="11">I104*J104</f>
        <v>12429.999999999998</v>
      </c>
      <c r="L104" s="135">
        <f t="shared" ref="L104:L105" si="12">(($D$96*H104*G104)/(IF(E104&lt;=0.5,$D$98,$D$100)+(0.061*K104)))*100</f>
        <v>0.61608073790758977</v>
      </c>
      <c r="M104" s="81"/>
      <c r="N104" s="81">
        <f t="shared" ref="N104:N105" si="13">$D$101/I104</f>
        <v>3</v>
      </c>
      <c r="O104" s="81">
        <f t="shared" ref="O104:O105" si="14">F104/E104</f>
        <v>3.6603221083455346</v>
      </c>
      <c r="P104" s="82"/>
      <c r="Q104" s="82"/>
      <c r="R104" s="83"/>
      <c r="S104" s="82"/>
      <c r="T104" s="83"/>
      <c r="U104" s="83"/>
      <c r="V104" s="83"/>
      <c r="W104" s="83"/>
      <c r="X104" s="84"/>
      <c r="Y104" s="84"/>
    </row>
    <row r="105" spans="1:240" s="74" customFormat="1">
      <c r="B105" s="140" t="str">
        <f t="shared" si="10"/>
        <v>CS-01</v>
      </c>
      <c r="C105" s="140">
        <f t="shared" si="10"/>
        <v>77724</v>
      </c>
      <c r="D105" s="135">
        <f t="shared" si="10"/>
        <v>8.5</v>
      </c>
      <c r="E105" s="135">
        <f>+F66</f>
        <v>0.2732</v>
      </c>
      <c r="F105" s="135">
        <f>+H66</f>
        <v>1</v>
      </c>
      <c r="G105" s="135">
        <f>K42+L66</f>
        <v>35.549186844497534</v>
      </c>
      <c r="H105" s="132">
        <v>0.1</v>
      </c>
      <c r="I105" s="156">
        <v>11000</v>
      </c>
      <c r="J105" s="52">
        <v>1.1299999999999999</v>
      </c>
      <c r="K105" s="140">
        <f t="shared" si="11"/>
        <v>12429.999999999998</v>
      </c>
      <c r="L105" s="135">
        <f t="shared" si="12"/>
        <v>0.65188173215215361</v>
      </c>
      <c r="M105" s="81"/>
      <c r="N105" s="81">
        <f t="shared" si="13"/>
        <v>3</v>
      </c>
      <c r="O105" s="81">
        <f t="shared" si="14"/>
        <v>3.6603221083455346</v>
      </c>
      <c r="P105" s="82"/>
      <c r="Q105" s="82"/>
      <c r="R105" s="83"/>
      <c r="S105" s="82"/>
      <c r="T105" s="83"/>
      <c r="U105" s="83"/>
      <c r="V105" s="83"/>
      <c r="W105" s="83"/>
      <c r="X105" s="84"/>
      <c r="Y105" s="84"/>
    </row>
    <row r="106" spans="1:240" s="74" customFormat="1" ht="11.25">
      <c r="N106" s="81"/>
      <c r="O106" s="81"/>
      <c r="P106" s="82"/>
      <c r="Q106" s="82"/>
      <c r="R106" s="83"/>
      <c r="S106" s="82"/>
      <c r="T106" s="83"/>
      <c r="U106" s="83"/>
      <c r="V106" s="83"/>
      <c r="W106" s="83"/>
      <c r="X106" s="84"/>
      <c r="Y106" s="84"/>
    </row>
    <row r="107" spans="1:240" ht="37.5" customHeight="1">
      <c r="A107" s="288" t="s">
        <v>106</v>
      </c>
      <c r="B107" s="288"/>
      <c r="C107" s="288"/>
      <c r="D107" s="288"/>
      <c r="E107" s="288"/>
      <c r="F107" s="288"/>
      <c r="G107" s="288"/>
      <c r="H107" s="288"/>
      <c r="I107" s="288"/>
      <c r="J107" s="288"/>
      <c r="K107" s="288"/>
      <c r="L107" s="288"/>
      <c r="M107" s="288"/>
      <c r="V107" s="83"/>
      <c r="W107" s="83"/>
    </row>
    <row r="108" spans="1:240">
      <c r="N108" s="198" t="s">
        <v>50</v>
      </c>
      <c r="O108" s="198" t="s">
        <v>47</v>
      </c>
      <c r="Q108" s="235" t="s">
        <v>50</v>
      </c>
      <c r="R108" s="235" t="s">
        <v>47</v>
      </c>
      <c r="T108" s="235" t="s">
        <v>51</v>
      </c>
      <c r="U108" s="235" t="s">
        <v>47</v>
      </c>
      <c r="V108" s="83"/>
      <c r="W108" s="83"/>
    </row>
    <row r="109" spans="1:240">
      <c r="A109" s="19" t="s">
        <v>60</v>
      </c>
      <c r="N109" s="235"/>
      <c r="O109" s="235"/>
      <c r="Q109" s="235"/>
      <c r="R109" s="235"/>
      <c r="T109" s="235">
        <v>3</v>
      </c>
      <c r="U109" s="235">
        <f>+O110</f>
        <v>1.2</v>
      </c>
      <c r="V109" s="83"/>
      <c r="W109" s="83"/>
    </row>
    <row r="110" spans="1:240">
      <c r="N110" s="236">
        <v>3</v>
      </c>
      <c r="O110" s="237">
        <v>1.2</v>
      </c>
      <c r="Q110" s="236">
        <f>+N110</f>
        <v>3</v>
      </c>
      <c r="R110" s="237">
        <v>1.1000000000000001</v>
      </c>
      <c r="T110" s="236">
        <v>3.66</v>
      </c>
      <c r="U110" s="238">
        <v>1.1299999999999999</v>
      </c>
      <c r="V110" s="83"/>
      <c r="W110" s="83"/>
    </row>
    <row r="111" spans="1:240">
      <c r="A111" s="298" t="s">
        <v>115</v>
      </c>
      <c r="B111" s="298"/>
      <c r="C111" s="298"/>
      <c r="D111" s="298"/>
      <c r="E111" s="298"/>
      <c r="F111" s="298"/>
      <c r="G111" s="298"/>
      <c r="H111" s="298"/>
      <c r="I111" s="298"/>
      <c r="J111" s="298"/>
      <c r="K111" s="298"/>
      <c r="L111" s="298"/>
      <c r="M111" s="298"/>
      <c r="N111" s="235"/>
      <c r="O111" s="235"/>
      <c r="Q111" s="235"/>
      <c r="R111" s="235"/>
      <c r="T111" s="235">
        <v>4</v>
      </c>
      <c r="U111" s="235">
        <f>+R110</f>
        <v>1.1000000000000001</v>
      </c>
    </row>
    <row r="112" spans="1:240">
      <c r="A112" s="298"/>
      <c r="B112" s="298"/>
      <c r="C112" s="298"/>
      <c r="D112" s="298"/>
      <c r="E112" s="298"/>
      <c r="F112" s="298"/>
      <c r="G112" s="298"/>
      <c r="H112" s="298"/>
      <c r="I112" s="298"/>
      <c r="J112" s="298"/>
      <c r="K112" s="298"/>
      <c r="L112" s="298"/>
      <c r="M112" s="298"/>
      <c r="N112" s="301" t="s">
        <v>327</v>
      </c>
      <c r="O112" s="301"/>
      <c r="Q112" s="293" t="s">
        <v>328</v>
      </c>
      <c r="R112" s="294"/>
      <c r="T112" s="293"/>
      <c r="U112" s="294"/>
    </row>
    <row r="118" spans="3:4">
      <c r="C118" s="17" t="s">
        <v>2</v>
      </c>
    </row>
    <row r="119" spans="3:4">
      <c r="C119" s="62" t="s">
        <v>61</v>
      </c>
      <c r="D119" s="17" t="s">
        <v>216</v>
      </c>
    </row>
    <row r="120" spans="3:4">
      <c r="C120" s="62"/>
      <c r="D120" s="17" t="s">
        <v>214</v>
      </c>
    </row>
    <row r="121" spans="3:4">
      <c r="C121" s="62"/>
      <c r="D121" s="17" t="s">
        <v>215</v>
      </c>
    </row>
    <row r="122" spans="3:4">
      <c r="C122" s="62" t="s">
        <v>62</v>
      </c>
      <c r="D122" s="17" t="s">
        <v>217</v>
      </c>
    </row>
    <row r="123" spans="3:4">
      <c r="C123" s="62"/>
      <c r="D123" s="17" t="s">
        <v>219</v>
      </c>
    </row>
    <row r="124" spans="3:4">
      <c r="C124" s="62"/>
      <c r="D124" s="17" t="s">
        <v>218</v>
      </c>
    </row>
    <row r="125" spans="3:4">
      <c r="C125" s="62" t="s">
        <v>63</v>
      </c>
      <c r="D125" s="17" t="s">
        <v>220</v>
      </c>
    </row>
    <row r="126" spans="3:4">
      <c r="C126" s="62" t="s">
        <v>64</v>
      </c>
      <c r="D126" s="17" t="s">
        <v>65</v>
      </c>
    </row>
    <row r="127" spans="3:4" ht="17.25" customHeight="1">
      <c r="C127" s="62"/>
      <c r="D127" s="17" t="s">
        <v>107</v>
      </c>
    </row>
    <row r="128" spans="3:4">
      <c r="C128" s="62" t="s">
        <v>66</v>
      </c>
      <c r="D128" s="17" t="s">
        <v>221</v>
      </c>
    </row>
    <row r="129" spans="1:24">
      <c r="C129" s="62"/>
      <c r="D129" s="56"/>
    </row>
    <row r="130" spans="1:24" ht="13.5">
      <c r="D130" s="48" t="s">
        <v>108</v>
      </c>
      <c r="E130" s="49"/>
      <c r="F130" s="53">
        <f>D98/8</f>
        <v>7.4709711470795206</v>
      </c>
      <c r="G130" s="123" t="str">
        <f>E98</f>
        <v>Para tuberías PVC Novafort</v>
      </c>
      <c r="H130" s="72"/>
      <c r="I130" s="60"/>
      <c r="J130" s="72"/>
    </row>
    <row r="131" spans="1:24" ht="13.5">
      <c r="D131" s="48" t="s">
        <v>108</v>
      </c>
      <c r="E131" s="49"/>
      <c r="F131" s="53">
        <f>D100/8</f>
        <v>3.6699507389162553</v>
      </c>
      <c r="G131" s="123" t="s">
        <v>44</v>
      </c>
      <c r="H131" s="72"/>
      <c r="I131" s="60"/>
      <c r="J131" s="72"/>
    </row>
    <row r="132" spans="1:24">
      <c r="D132" s="48" t="s">
        <v>67</v>
      </c>
      <c r="E132" s="49"/>
      <c r="F132" s="53">
        <v>4</v>
      </c>
      <c r="G132" s="72" t="s">
        <v>68</v>
      </c>
      <c r="H132" s="72"/>
      <c r="I132" s="72"/>
      <c r="J132" s="72"/>
    </row>
    <row r="134" spans="1:24" s="31" customFormat="1" ht="13.5">
      <c r="B134" s="274" t="str">
        <f>B$40</f>
        <v>Pozo de</v>
      </c>
      <c r="C134" s="274" t="str">
        <f>C$40</f>
        <v>Pozo a</v>
      </c>
      <c r="D134" s="274" t="s">
        <v>130</v>
      </c>
      <c r="E134" s="274" t="s">
        <v>208</v>
      </c>
      <c r="F134" s="274" t="s">
        <v>207</v>
      </c>
      <c r="G134" s="202" t="s">
        <v>9</v>
      </c>
      <c r="H134" s="202" t="s">
        <v>45</v>
      </c>
      <c r="I134" s="274" t="s">
        <v>69</v>
      </c>
      <c r="J134" s="274" t="s">
        <v>70</v>
      </c>
      <c r="K134" s="274" t="s">
        <v>71</v>
      </c>
      <c r="L134" s="202" t="s">
        <v>229</v>
      </c>
      <c r="W134" s="17"/>
      <c r="X134" s="17"/>
    </row>
    <row r="135" spans="1:24">
      <c r="B135" s="275"/>
      <c r="C135" s="275"/>
      <c r="D135" s="275"/>
      <c r="E135" s="287"/>
      <c r="F135" s="287"/>
      <c r="G135" s="146" t="s">
        <v>16</v>
      </c>
      <c r="H135" s="147" t="s">
        <v>49</v>
      </c>
      <c r="I135" s="275"/>
      <c r="J135" s="275"/>
      <c r="K135" s="275"/>
      <c r="L135" s="203" t="s">
        <v>72</v>
      </c>
    </row>
    <row r="136" spans="1:24" s="74" customFormat="1">
      <c r="B136" s="140" t="str">
        <f t="shared" ref="B136:E137" si="15">+B104</f>
        <v>CR-12</v>
      </c>
      <c r="C136" s="140" t="str">
        <f t="shared" si="15"/>
        <v>CS-01</v>
      </c>
      <c r="D136" s="135">
        <f t="shared" si="15"/>
        <v>2</v>
      </c>
      <c r="E136" s="135">
        <f t="shared" si="15"/>
        <v>0.2732</v>
      </c>
      <c r="F136" s="135">
        <f>+G65</f>
        <v>1.2</v>
      </c>
      <c r="G136" s="135">
        <f>+F104</f>
        <v>1</v>
      </c>
      <c r="H136" s="135">
        <f>+G104</f>
        <v>33.596844616073611</v>
      </c>
      <c r="I136" s="28">
        <f t="shared" ref="I136:I137" si="16">IF(F136/E136&gt;=2,2.5,3)</f>
        <v>2.5</v>
      </c>
      <c r="J136" s="28">
        <f t="shared" ref="J136:J137" si="17">IF($F$132&lt;=F136,1-0.33*($F$132/F136),1)</f>
        <v>1</v>
      </c>
      <c r="K136" s="135">
        <f t="shared" ref="K136:K137" si="18">1/(1+4*EXP(-0.2133*F136))</f>
        <v>0.24409940102347313</v>
      </c>
      <c r="L136" s="135">
        <f>1/I136*SQRT(32*J136*K136*K104*IF(E136&lt;=0.5,$F$130,$F$131))</f>
        <v>340.67669961122425</v>
      </c>
      <c r="W136" s="76"/>
      <c r="X136" s="76"/>
    </row>
    <row r="137" spans="1:24" s="74" customFormat="1">
      <c r="B137" s="140" t="str">
        <f t="shared" si="15"/>
        <v>CS-01</v>
      </c>
      <c r="C137" s="140">
        <f t="shared" si="15"/>
        <v>77724</v>
      </c>
      <c r="D137" s="135">
        <f t="shared" si="15"/>
        <v>8.5</v>
      </c>
      <c r="E137" s="135">
        <f t="shared" si="15"/>
        <v>0.2732</v>
      </c>
      <c r="F137" s="135">
        <f>+G66</f>
        <v>1.04</v>
      </c>
      <c r="G137" s="135">
        <f>+F105</f>
        <v>1</v>
      </c>
      <c r="H137" s="135">
        <f>+G105</f>
        <v>35.549186844497534</v>
      </c>
      <c r="I137" s="28">
        <f t="shared" si="16"/>
        <v>2.5</v>
      </c>
      <c r="J137" s="28">
        <f t="shared" si="17"/>
        <v>1</v>
      </c>
      <c r="K137" s="135">
        <f t="shared" si="18"/>
        <v>0.23785739668732089</v>
      </c>
      <c r="L137" s="135">
        <f>1/I137*SQRT(32*J137*K137*K105*IF(E137&lt;=0.5,$F$130,$F$131))</f>
        <v>336.29267287484294</v>
      </c>
      <c r="W137" s="76"/>
      <c r="X137" s="76"/>
    </row>
    <row r="138" spans="1:24" s="74" customFormat="1"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</row>
    <row r="139" spans="1:24">
      <c r="A139" s="17" t="s">
        <v>73</v>
      </c>
      <c r="H139" s="63"/>
    </row>
    <row r="140" spans="1:24">
      <c r="H140" s="63"/>
    </row>
    <row r="141" spans="1:24">
      <c r="H141" s="63"/>
    </row>
    <row r="142" spans="1:24">
      <c r="H142" s="63"/>
    </row>
    <row r="143" spans="1:24">
      <c r="H143" s="63"/>
    </row>
    <row r="144" spans="1:24">
      <c r="H144" s="63"/>
    </row>
    <row r="146" spans="1:24" s="31" customFormat="1" ht="27" customHeight="1">
      <c r="C146" s="202" t="str">
        <f>B$40</f>
        <v>Pozo de</v>
      </c>
      <c r="D146" s="202" t="str">
        <f>C$40</f>
        <v>Pozo a</v>
      </c>
      <c r="E146" s="202" t="s">
        <v>222</v>
      </c>
      <c r="F146" s="204" t="s">
        <v>204</v>
      </c>
      <c r="G146" s="202" t="s">
        <v>207</v>
      </c>
      <c r="H146" s="202" t="s">
        <v>206</v>
      </c>
      <c r="I146" s="202" t="s">
        <v>211</v>
      </c>
      <c r="J146" s="202" t="s">
        <v>230</v>
      </c>
      <c r="K146" s="202" t="s">
        <v>231</v>
      </c>
      <c r="W146" s="17"/>
      <c r="X146" s="17"/>
    </row>
    <row r="147" spans="1:24" s="74" customFormat="1">
      <c r="C147" s="135" t="str">
        <f t="shared" ref="C147:G148" si="19">+B136</f>
        <v>CR-12</v>
      </c>
      <c r="D147" s="135" t="str">
        <f t="shared" si="19"/>
        <v>CS-01</v>
      </c>
      <c r="E147" s="135">
        <f t="shared" si="19"/>
        <v>2</v>
      </c>
      <c r="F147" s="135">
        <f t="shared" si="19"/>
        <v>0.2732</v>
      </c>
      <c r="G147" s="135">
        <f t="shared" si="19"/>
        <v>1.2</v>
      </c>
      <c r="H147" s="135">
        <f>+K41</f>
        <v>6.5567999999999991</v>
      </c>
      <c r="I147" s="135">
        <f>+L65</f>
        <v>27.040044616073615</v>
      </c>
      <c r="J147" s="135">
        <f>10*IF(G147&gt;$F$132,G147-$F$132,0)+(J136*H147/F147)+I147/F147</f>
        <v>122.9752731188639</v>
      </c>
      <c r="K147" s="135" t="str">
        <f>IF(J147&lt;L136,"OK","NO CUMPLE")</f>
        <v>OK</v>
      </c>
    </row>
    <row r="148" spans="1:24" s="74" customFormat="1">
      <c r="C148" s="135" t="str">
        <f t="shared" si="19"/>
        <v>CS-01</v>
      </c>
      <c r="D148" s="135">
        <f t="shared" si="19"/>
        <v>77724</v>
      </c>
      <c r="E148" s="135">
        <f t="shared" si="19"/>
        <v>8.5</v>
      </c>
      <c r="F148" s="135">
        <f t="shared" si="19"/>
        <v>0.2732</v>
      </c>
      <c r="G148" s="135">
        <f t="shared" si="19"/>
        <v>1.04</v>
      </c>
      <c r="H148" s="135">
        <f>+K42</f>
        <v>5.6825600000000005</v>
      </c>
      <c r="I148" s="135">
        <f>+L66</f>
        <v>29.866626844497535</v>
      </c>
      <c r="J148" s="135">
        <f>10*IF(G148&gt;$F$132,G148-$F$132,0)+(J137*H148/F148)+I148/F148</f>
        <v>130.12147454062057</v>
      </c>
      <c r="K148" s="135" t="str">
        <f>IF(J148&lt;L137,"OK","NO CUMPLE")</f>
        <v>OK</v>
      </c>
    </row>
    <row r="149" spans="1:24" s="74" customFormat="1" ht="11.25"/>
    <row r="150" spans="1:24">
      <c r="A150" s="64" t="s">
        <v>74</v>
      </c>
      <c r="B150" s="65"/>
      <c r="C150" s="65"/>
      <c r="D150" s="65"/>
      <c r="E150" s="65"/>
      <c r="F150" s="65"/>
      <c r="G150" s="65"/>
    </row>
    <row r="151" spans="1:24">
      <c r="A151" s="65"/>
      <c r="B151" s="65"/>
      <c r="C151" s="65"/>
      <c r="D151" s="65"/>
      <c r="E151" s="65"/>
      <c r="F151" s="65"/>
      <c r="G151" s="65"/>
    </row>
    <row r="152" spans="1:24">
      <c r="A152" s="65" t="s">
        <v>109</v>
      </c>
      <c r="B152" s="65"/>
      <c r="C152" s="65"/>
      <c r="D152" s="65"/>
      <c r="E152" s="65"/>
      <c r="F152" s="65"/>
      <c r="G152" s="65"/>
    </row>
    <row r="153" spans="1:24">
      <c r="A153" s="65"/>
      <c r="B153" s="65"/>
      <c r="C153" s="65"/>
      <c r="D153" s="65"/>
      <c r="E153" s="65"/>
      <c r="F153" s="65"/>
      <c r="G153" s="65"/>
    </row>
    <row r="154" spans="1:24">
      <c r="A154" s="1"/>
      <c r="B154" s="65"/>
      <c r="C154" s="65"/>
      <c r="D154" s="65"/>
      <c r="E154" s="65"/>
      <c r="F154" s="65"/>
      <c r="G154" s="65"/>
    </row>
    <row r="155" spans="1:24">
      <c r="A155" s="65"/>
      <c r="B155" s="65"/>
      <c r="C155" s="65"/>
      <c r="D155" s="65"/>
      <c r="E155" s="65"/>
      <c r="F155" s="65"/>
      <c r="G155" s="65"/>
    </row>
    <row r="156" spans="1:24">
      <c r="A156" s="65"/>
      <c r="B156" s="65"/>
      <c r="C156" s="65"/>
      <c r="D156" s="65"/>
      <c r="E156" s="65"/>
      <c r="F156" s="65"/>
      <c r="G156" s="65"/>
    </row>
    <row r="157" spans="1:24">
      <c r="A157" s="65" t="s">
        <v>2</v>
      </c>
      <c r="B157" s="65"/>
      <c r="C157" s="65"/>
      <c r="D157" s="65"/>
      <c r="E157" s="65"/>
      <c r="F157" s="65"/>
      <c r="G157" s="65"/>
    </row>
    <row r="158" spans="1:24" ht="13.5">
      <c r="A158" s="65"/>
      <c r="B158" s="66" t="s">
        <v>110</v>
      </c>
      <c r="C158" s="67" t="s">
        <v>75</v>
      </c>
      <c r="D158" s="67"/>
      <c r="E158" s="65"/>
      <c r="F158" s="65"/>
      <c r="G158" s="65"/>
    </row>
    <row r="159" spans="1:24">
      <c r="A159" s="65"/>
      <c r="B159" s="66" t="s">
        <v>26</v>
      </c>
      <c r="C159" s="67" t="s">
        <v>76</v>
      </c>
      <c r="D159" s="65"/>
      <c r="E159" s="65"/>
      <c r="F159" s="65"/>
      <c r="G159" s="65"/>
    </row>
    <row r="160" spans="1:24" ht="13.5">
      <c r="A160" s="65"/>
      <c r="B160" s="66" t="s">
        <v>77</v>
      </c>
      <c r="C160" s="65" t="s">
        <v>111</v>
      </c>
      <c r="D160" s="65"/>
      <c r="E160" s="65"/>
      <c r="F160" s="65"/>
      <c r="G160" s="65"/>
    </row>
    <row r="161" spans="1:22">
      <c r="A161" s="65"/>
      <c r="B161" s="65"/>
      <c r="C161" s="65"/>
      <c r="D161" s="65"/>
      <c r="E161" s="65"/>
      <c r="F161" s="65"/>
      <c r="G161" s="65"/>
    </row>
    <row r="162" spans="1:22" ht="14.25">
      <c r="A162" s="65" t="s">
        <v>112</v>
      </c>
      <c r="B162" s="65"/>
      <c r="C162" s="65"/>
      <c r="D162" s="65"/>
      <c r="E162" s="65"/>
      <c r="F162" s="65"/>
      <c r="G162" s="65"/>
    </row>
    <row r="163" spans="1:22">
      <c r="B163" s="65"/>
      <c r="C163" s="65"/>
      <c r="D163" s="65"/>
      <c r="E163" s="65"/>
      <c r="F163" s="65"/>
      <c r="G163" s="65"/>
      <c r="H163" s="65"/>
    </row>
    <row r="164" spans="1:22" ht="25.5">
      <c r="D164" s="149" t="str">
        <f>B40</f>
        <v>Pozo de</v>
      </c>
      <c r="E164" s="149" t="str">
        <f>C40</f>
        <v>Pozo a</v>
      </c>
      <c r="F164" s="202" t="str">
        <f>E40</f>
        <v>Diám Nominal (in)</v>
      </c>
      <c r="G164" s="202" t="s">
        <v>208</v>
      </c>
      <c r="H164" s="149" t="s">
        <v>212</v>
      </c>
      <c r="I164" s="150" t="s">
        <v>232</v>
      </c>
      <c r="J164" s="150" t="s">
        <v>233</v>
      </c>
      <c r="O164" s="199"/>
      <c r="P164" s="199"/>
      <c r="Q164" s="199"/>
      <c r="R164" s="199"/>
      <c r="S164" s="199"/>
      <c r="T164" s="199"/>
      <c r="U164" s="199"/>
      <c r="V164" s="199"/>
    </row>
    <row r="165" spans="1:22" s="74" customFormat="1">
      <c r="D165" s="151" t="str">
        <f>+C147</f>
        <v>CR-12</v>
      </c>
      <c r="E165" s="151" t="str">
        <f>+D147</f>
        <v>CS-01</v>
      </c>
      <c r="F165" s="151">
        <f>+E41</f>
        <v>10</v>
      </c>
      <c r="G165" s="152">
        <f>+F147</f>
        <v>0.2732</v>
      </c>
      <c r="H165" s="152">
        <f>+I147+H147</f>
        <v>33.596844616073611</v>
      </c>
      <c r="I165" s="152">
        <f t="shared" ref="I165:I166" si="20">2*H165/(PI()*G165)</f>
        <v>78.28849037977227</v>
      </c>
      <c r="J165" s="152" t="str">
        <f t="shared" ref="J165:J166" si="21">IF(I165&lt;67500,"OK","Falta")</f>
        <v>OK</v>
      </c>
    </row>
    <row r="166" spans="1:22" s="74" customFormat="1">
      <c r="D166" s="151" t="str">
        <f>+C148</f>
        <v>CS-01</v>
      </c>
      <c r="E166" s="151">
        <f>+D148</f>
        <v>77724</v>
      </c>
      <c r="F166" s="151">
        <f>+E42</f>
        <v>10</v>
      </c>
      <c r="G166" s="152">
        <f>+F148</f>
        <v>0.2732</v>
      </c>
      <c r="H166" s="152">
        <f>+I148+H148</f>
        <v>35.549186844497534</v>
      </c>
      <c r="I166" s="152">
        <f t="shared" si="20"/>
        <v>82.837903502183892</v>
      </c>
      <c r="J166" s="152" t="str">
        <f t="shared" si="21"/>
        <v>OK</v>
      </c>
    </row>
    <row r="167" spans="1:22" s="74" customFormat="1">
      <c r="D167" s="218"/>
      <c r="E167" s="218"/>
      <c r="F167" s="218"/>
      <c r="G167" s="219"/>
      <c r="H167" s="219"/>
      <c r="I167" s="219"/>
      <c r="J167" s="219"/>
    </row>
    <row r="168" spans="1:22" s="74" customFormat="1">
      <c r="A168" s="64" t="s">
        <v>240</v>
      </c>
    </row>
    <row r="169" spans="1:22" s="74" customFormat="1">
      <c r="A169" s="65"/>
    </row>
    <row r="170" spans="1:22" s="74" customFormat="1" ht="35.25" customHeight="1">
      <c r="A170" s="292" t="s">
        <v>379</v>
      </c>
      <c r="B170" s="292"/>
      <c r="C170" s="292"/>
      <c r="D170" s="292"/>
      <c r="E170" s="292"/>
      <c r="F170" s="292"/>
      <c r="G170" s="292"/>
      <c r="H170" s="292"/>
      <c r="I170" s="292"/>
      <c r="J170" s="292"/>
      <c r="K170" s="292"/>
      <c r="L170" s="292"/>
      <c r="M170" s="292"/>
    </row>
    <row r="171" spans="1:22" s="74" customFormat="1">
      <c r="A171" s="65"/>
    </row>
    <row r="172" spans="1:22" s="74" customFormat="1" ht="11.25" customHeight="1">
      <c r="D172" s="286" t="s">
        <v>125</v>
      </c>
      <c r="E172" s="286" t="s">
        <v>126</v>
      </c>
      <c r="F172" s="286" t="s">
        <v>134</v>
      </c>
      <c r="G172" s="279" t="s">
        <v>191</v>
      </c>
      <c r="H172" s="299" t="s">
        <v>135</v>
      </c>
      <c r="I172" s="286" t="s">
        <v>131</v>
      </c>
    </row>
    <row r="173" spans="1:22" s="74" customFormat="1" ht="11.25" customHeight="1">
      <c r="D173" s="287"/>
      <c r="E173" s="287"/>
      <c r="F173" s="287"/>
      <c r="G173" s="279"/>
      <c r="H173" s="300"/>
      <c r="I173" s="287"/>
    </row>
    <row r="174" spans="1:22" s="74" customFormat="1">
      <c r="D174" s="90" t="str">
        <f>+B65</f>
        <v>CR-12</v>
      </c>
      <c r="E174" s="90" t="str">
        <f>+C65</f>
        <v>CS-01</v>
      </c>
      <c r="F174" s="21">
        <f>+G65</f>
        <v>1.2</v>
      </c>
      <c r="G174" s="21">
        <f>+P41</f>
        <v>1.5731999999999999</v>
      </c>
      <c r="H174" s="153" t="str">
        <f t="shared" ref="H174:H175" si="22">+IF(G174&gt;0.5,"NO","SI")</f>
        <v>NO</v>
      </c>
      <c r="I174" s="198" t="s">
        <v>380</v>
      </c>
    </row>
    <row r="175" spans="1:22" s="74" customFormat="1">
      <c r="D175" s="90" t="str">
        <f>+B66</f>
        <v>CS-01</v>
      </c>
      <c r="E175" s="90">
        <f>+C66</f>
        <v>77724</v>
      </c>
      <c r="F175" s="21">
        <f>+G66</f>
        <v>1.04</v>
      </c>
      <c r="G175" s="21">
        <f>+P42</f>
        <v>1.4132000000000002</v>
      </c>
      <c r="H175" s="153" t="str">
        <f t="shared" si="22"/>
        <v>NO</v>
      </c>
      <c r="I175" s="248" t="s">
        <v>380</v>
      </c>
    </row>
    <row r="177" spans="1:13">
      <c r="A177" s="64" t="s">
        <v>398</v>
      </c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</row>
    <row r="178" spans="1:13">
      <c r="A178" s="65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</row>
    <row r="179" spans="1:13">
      <c r="A179" s="17" t="s">
        <v>392</v>
      </c>
    </row>
    <row r="203" spans="2:13">
      <c r="B203" s="279" t="s">
        <v>128</v>
      </c>
      <c r="C203" s="279" t="s">
        <v>129</v>
      </c>
      <c r="D203" s="317" t="s">
        <v>48</v>
      </c>
      <c r="E203" s="317" t="s">
        <v>16</v>
      </c>
      <c r="F203" s="317" t="s">
        <v>134</v>
      </c>
      <c r="G203" s="279" t="s">
        <v>191</v>
      </c>
      <c r="H203" s="279" t="s">
        <v>393</v>
      </c>
      <c r="I203" s="279" t="s">
        <v>394</v>
      </c>
      <c r="J203" s="279" t="s">
        <v>395</v>
      </c>
      <c r="K203" s="279" t="s">
        <v>396</v>
      </c>
      <c r="L203" s="279" t="s">
        <v>397</v>
      </c>
    </row>
    <row r="204" spans="2:13">
      <c r="B204" s="279"/>
      <c r="C204" s="279"/>
      <c r="D204" s="317"/>
      <c r="E204" s="317"/>
      <c r="F204" s="317"/>
      <c r="G204" s="279"/>
      <c r="H204" s="279"/>
      <c r="I204" s="279"/>
      <c r="J204" s="279"/>
      <c r="K204" s="279"/>
      <c r="L204" s="279"/>
    </row>
    <row r="205" spans="2:13">
      <c r="B205" s="90" t="str">
        <f>+D174</f>
        <v>CR-12</v>
      </c>
      <c r="C205" s="90" t="str">
        <f>+E174</f>
        <v>CS-01</v>
      </c>
      <c r="D205" s="21">
        <f>+G165</f>
        <v>0.2732</v>
      </c>
      <c r="E205" s="21">
        <f>+G136</f>
        <v>1</v>
      </c>
      <c r="F205" s="21">
        <f>+F174</f>
        <v>1.2</v>
      </c>
      <c r="G205" s="21">
        <f>+G174</f>
        <v>1.5731999999999999</v>
      </c>
      <c r="H205" s="21">
        <v>0.1</v>
      </c>
      <c r="I205" s="21">
        <f t="shared" ref="I205:I206" si="23">+D205*0.6</f>
        <v>0.16391999999999998</v>
      </c>
      <c r="J205" s="21">
        <f t="shared" ref="J205:J206" si="24">(0.4*D205)+0.3</f>
        <v>0.40927999999999998</v>
      </c>
      <c r="K205" s="21">
        <f t="shared" ref="K205:K206" si="25">G205-J205-I205-H205-L205</f>
        <v>0.4</v>
      </c>
      <c r="L205" s="21">
        <v>0.5</v>
      </c>
    </row>
    <row r="206" spans="2:13">
      <c r="B206" s="90" t="str">
        <f>+D175</f>
        <v>CS-01</v>
      </c>
      <c r="C206" s="90">
        <f>+E175</f>
        <v>77724</v>
      </c>
      <c r="D206" s="21">
        <f>+G166</f>
        <v>0.2732</v>
      </c>
      <c r="E206" s="21">
        <f>+G137</f>
        <v>1</v>
      </c>
      <c r="F206" s="21">
        <f>+F175</f>
        <v>1.04</v>
      </c>
      <c r="G206" s="21">
        <f>+G175</f>
        <v>1.4132000000000002</v>
      </c>
      <c r="H206" s="21">
        <v>0.1</v>
      </c>
      <c r="I206" s="21">
        <f t="shared" si="23"/>
        <v>0.16391999999999998</v>
      </c>
      <c r="J206" s="21">
        <f t="shared" si="24"/>
        <v>0.40927999999999998</v>
      </c>
      <c r="K206" s="21">
        <f t="shared" si="25"/>
        <v>0.24000000000000044</v>
      </c>
      <c r="L206" s="21">
        <v>0.5</v>
      </c>
    </row>
    <row r="208" spans="2:13">
      <c r="J208" s="199"/>
      <c r="K208" s="199"/>
      <c r="L208" s="199"/>
      <c r="M208" s="199"/>
    </row>
    <row r="209" spans="10:13">
      <c r="J209" s="199"/>
      <c r="K209" s="199"/>
      <c r="L209" s="199"/>
      <c r="M209" s="199"/>
    </row>
    <row r="212" spans="10:13">
      <c r="K212" s="17" t="s">
        <v>136</v>
      </c>
    </row>
  </sheetData>
  <autoFilter ref="A40:M42" xr:uid="{00000000-0001-0000-0400-000000000000}"/>
  <mergeCells count="37">
    <mergeCell ref="A170:M170"/>
    <mergeCell ref="D172:D173"/>
    <mergeCell ref="E172:E173"/>
    <mergeCell ref="F172:F173"/>
    <mergeCell ref="G172:G173"/>
    <mergeCell ref="H172:H173"/>
    <mergeCell ref="I172:I173"/>
    <mergeCell ref="S83:S84"/>
    <mergeCell ref="T83:AA83"/>
    <mergeCell ref="A107:M107"/>
    <mergeCell ref="A111:M112"/>
    <mergeCell ref="B134:B135"/>
    <mergeCell ref="C134:C135"/>
    <mergeCell ref="D134:D135"/>
    <mergeCell ref="E134:E135"/>
    <mergeCell ref="F134:F135"/>
    <mergeCell ref="N112:O112"/>
    <mergeCell ref="Q112:R112"/>
    <mergeCell ref="T112:U112"/>
    <mergeCell ref="A2:M2"/>
    <mergeCell ref="A3:M3"/>
    <mergeCell ref="C60:C62"/>
    <mergeCell ref="A70:M71"/>
    <mergeCell ref="I134:I135"/>
    <mergeCell ref="J134:J135"/>
    <mergeCell ref="K134:K135"/>
    <mergeCell ref="B203:B204"/>
    <mergeCell ref="C203:C204"/>
    <mergeCell ref="D203:D204"/>
    <mergeCell ref="E203:E204"/>
    <mergeCell ref="F203:F204"/>
    <mergeCell ref="L203:L204"/>
    <mergeCell ref="G203:G204"/>
    <mergeCell ref="H203:H204"/>
    <mergeCell ref="I203:I204"/>
    <mergeCell ref="J203:J204"/>
    <mergeCell ref="K203:K204"/>
  </mergeCells>
  <conditionalFormatting sqref="L104:L105">
    <cfRule type="cellIs" dxfId="2" priority="1" stopIfTrue="1" operator="greaterThanOrEqual">
      <formula>5</formula>
    </cfRule>
  </conditionalFormatting>
  <printOptions horizontalCentered="1"/>
  <pageMargins left="0.78740157480314965" right="0.78740157480314965" top="1.1811023622047245" bottom="1.1811023622047245" header="0.78740157480314965" footer="0.78740157480314965"/>
  <pageSetup scale="61" fitToHeight="0" orientation="portrait" r:id="rId1"/>
  <rowBreaks count="2" manualBreakCount="2">
    <brk id="67" max="12" man="1"/>
    <brk id="138" max="12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FB138-5849-4E86-AD13-AFD4FB4EF16F}">
  <sheetPr>
    <tabColor theme="6" tint="0.39997558519241921"/>
    <pageSetUpPr fitToPage="1"/>
  </sheetPr>
  <dimension ref="A2:IF214"/>
  <sheetViews>
    <sheetView view="pageBreakPreview" topLeftCell="J76" zoomScale="90" zoomScaleNormal="90" zoomScaleSheetLayoutView="90" workbookViewId="0">
      <selection activeCell="J90" sqref="J90"/>
    </sheetView>
  </sheetViews>
  <sheetFormatPr baseColWidth="10" defaultColWidth="11.42578125" defaultRowHeight="12"/>
  <cols>
    <col min="1" max="2" width="9.140625" style="17" customWidth="1"/>
    <col min="3" max="3" width="9.5703125" style="17" customWidth="1"/>
    <col min="4" max="4" width="9.28515625" style="17" customWidth="1"/>
    <col min="5" max="5" width="12.140625" style="17" customWidth="1"/>
    <col min="6" max="6" width="11.7109375" style="17" customWidth="1"/>
    <col min="7" max="7" width="14.140625" style="17" customWidth="1"/>
    <col min="8" max="8" width="12.7109375" style="17" customWidth="1"/>
    <col min="9" max="9" width="10.85546875" style="17" customWidth="1"/>
    <col min="10" max="10" width="11" style="17" customWidth="1"/>
    <col min="11" max="11" width="10.28515625" style="17" customWidth="1"/>
    <col min="12" max="12" width="12.5703125" style="17" customWidth="1"/>
    <col min="13" max="13" width="12.85546875" style="17" customWidth="1"/>
    <col min="14" max="14" width="11.42578125" style="17"/>
    <col min="15" max="16" width="11.85546875" style="17" bestFit="1" customWidth="1"/>
    <col min="17" max="17" width="11.85546875" style="17" customWidth="1"/>
    <col min="18" max="18" width="11.85546875" style="17" bestFit="1" customWidth="1"/>
    <col min="19" max="19" width="16.28515625" style="17" bestFit="1" customWidth="1"/>
    <col min="20" max="20" width="11.85546875" style="17" bestFit="1" customWidth="1"/>
    <col min="21" max="21" width="15.140625" style="17" customWidth="1"/>
    <col min="22" max="22" width="11.5703125" style="17" bestFit="1" customWidth="1"/>
    <col min="23" max="23" width="15" style="17" customWidth="1"/>
    <col min="24" max="24" width="11.5703125" style="17" bestFit="1" customWidth="1"/>
    <col min="25" max="16384" width="11.42578125" style="17"/>
  </cols>
  <sheetData>
    <row r="2" spans="1:13" ht="12.75" customHeight="1">
      <c r="A2" s="302" t="s">
        <v>236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3" spans="1:13" s="56" customFormat="1" ht="12.75" customHeight="1">
      <c r="A3" s="303" t="s">
        <v>345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</row>
    <row r="5" spans="1:13">
      <c r="A5" s="19" t="s">
        <v>78</v>
      </c>
    </row>
    <row r="7" spans="1:13">
      <c r="A7" s="19" t="s">
        <v>0</v>
      </c>
    </row>
    <row r="8" spans="1:13">
      <c r="A8" s="19"/>
    </row>
    <row r="9" spans="1:13">
      <c r="A9" s="19" t="s">
        <v>1</v>
      </c>
    </row>
    <row r="10" spans="1:13" ht="12.75" customHeight="1"/>
    <row r="11" spans="1:13" ht="12.75" customHeight="1"/>
    <row r="12" spans="1:13" ht="12.75" customHeight="1"/>
    <row r="13" spans="1:13">
      <c r="E13" s="20"/>
      <c r="F13" s="20"/>
      <c r="G13" s="18"/>
    </row>
    <row r="14" spans="1:13">
      <c r="D14" s="17" t="s">
        <v>2</v>
      </c>
    </row>
    <row r="15" spans="1:13">
      <c r="E15" s="20"/>
      <c r="F15" s="20"/>
      <c r="G15" s="18"/>
    </row>
    <row r="16" spans="1:13">
      <c r="E16" s="20"/>
      <c r="F16" s="20"/>
      <c r="G16" s="18"/>
    </row>
    <row r="17" spans="1:15">
      <c r="E17" s="20"/>
      <c r="F17" s="20"/>
      <c r="G17" s="18"/>
    </row>
    <row r="18" spans="1:15">
      <c r="E18" s="20"/>
      <c r="F18" s="20"/>
      <c r="G18" s="18"/>
    </row>
    <row r="19" spans="1:15">
      <c r="E19" s="20"/>
      <c r="F19" s="20"/>
      <c r="G19" s="18"/>
    </row>
    <row r="20" spans="1:15">
      <c r="E20" s="20"/>
      <c r="F20" s="20"/>
      <c r="G20" s="18"/>
    </row>
    <row r="21" spans="1:15">
      <c r="E21" s="20"/>
      <c r="F21" s="20"/>
      <c r="G21" s="18"/>
    </row>
    <row r="22" spans="1:15">
      <c r="E22" s="20"/>
      <c r="F22" s="20"/>
      <c r="G22" s="18"/>
    </row>
    <row r="23" spans="1:15" ht="7.5" customHeight="1">
      <c r="E23" s="20"/>
      <c r="F23" s="20"/>
      <c r="G23" s="18"/>
    </row>
    <row r="25" spans="1:15">
      <c r="A25" s="19" t="s">
        <v>3</v>
      </c>
      <c r="G25" s="18"/>
    </row>
    <row r="26" spans="1:15">
      <c r="G26" s="18"/>
    </row>
    <row r="27" spans="1:15">
      <c r="G27" s="18"/>
    </row>
    <row r="28" spans="1:15">
      <c r="G28" s="18"/>
    </row>
    <row r="29" spans="1:15">
      <c r="E29" s="20"/>
      <c r="F29" s="20"/>
      <c r="G29" s="18"/>
    </row>
    <row r="30" spans="1:15">
      <c r="D30" s="17" t="s">
        <v>2</v>
      </c>
      <c r="G30" s="18"/>
      <c r="N30" s="29"/>
      <c r="O30" s="29"/>
    </row>
    <row r="31" spans="1:15">
      <c r="G31" s="18"/>
      <c r="N31" s="29"/>
      <c r="O31" s="29"/>
    </row>
    <row r="32" spans="1:15">
      <c r="E32" s="20"/>
      <c r="F32" s="20"/>
      <c r="G32" s="18"/>
      <c r="N32" s="29"/>
      <c r="O32" s="29"/>
    </row>
    <row r="33" spans="1:22" ht="18.75" customHeight="1">
      <c r="E33" s="22"/>
      <c r="F33" s="22"/>
      <c r="G33" s="18"/>
      <c r="N33" s="29"/>
      <c r="O33" s="29"/>
    </row>
    <row r="34" spans="1:22">
      <c r="A34" s="17" t="s">
        <v>4</v>
      </c>
      <c r="N34" s="29"/>
      <c r="O34" s="29"/>
    </row>
    <row r="35" spans="1:22" ht="16.5" customHeight="1">
      <c r="N35" s="29"/>
      <c r="O35" s="29"/>
    </row>
    <row r="36" spans="1:22">
      <c r="C36" s="23" t="s">
        <v>96</v>
      </c>
      <c r="D36" s="41">
        <v>30</v>
      </c>
      <c r="E36" s="130"/>
      <c r="F36" s="131" t="s">
        <v>97</v>
      </c>
      <c r="G36" s="132">
        <f>D36*PI()/180</f>
        <v>0.52359877559829882</v>
      </c>
      <c r="K36" s="26"/>
    </row>
    <row r="37" spans="1:22" ht="13.5">
      <c r="C37" s="27" t="s">
        <v>5</v>
      </c>
      <c r="D37" s="132">
        <f>(TAN(PI()/4-G36/2))^2</f>
        <v>0.33333333333333343</v>
      </c>
      <c r="E37" s="130"/>
      <c r="F37" s="131" t="s">
        <v>98</v>
      </c>
      <c r="G37" s="54">
        <v>20</v>
      </c>
      <c r="K37" s="26"/>
    </row>
    <row r="38" spans="1:22">
      <c r="C38" s="23" t="s">
        <v>99</v>
      </c>
      <c r="D38" s="25">
        <f>TAN(G36)</f>
        <v>0.57735026918962573</v>
      </c>
      <c r="E38" s="24"/>
      <c r="K38" s="26"/>
    </row>
    <row r="40" spans="1:22" s="31" customFormat="1" ht="36.75" customHeight="1">
      <c r="A40" s="168"/>
      <c r="B40" s="138" t="s">
        <v>128</v>
      </c>
      <c r="C40" s="202" t="s">
        <v>129</v>
      </c>
      <c r="D40" s="202" t="s">
        <v>130</v>
      </c>
      <c r="E40" s="202" t="s">
        <v>209</v>
      </c>
      <c r="F40" s="202" t="s">
        <v>208</v>
      </c>
      <c r="G40" s="202" t="s">
        <v>223</v>
      </c>
      <c r="H40" s="202" t="s">
        <v>207</v>
      </c>
      <c r="I40" s="202" t="s">
        <v>205</v>
      </c>
      <c r="J40" s="204" t="s">
        <v>10</v>
      </c>
      <c r="K40" s="202" t="s">
        <v>206</v>
      </c>
      <c r="L40" s="202" t="s">
        <v>202</v>
      </c>
      <c r="O40" s="138" t="s">
        <v>203</v>
      </c>
      <c r="P40" s="198" t="s">
        <v>11</v>
      </c>
      <c r="Q40" s="137" t="s">
        <v>12</v>
      </c>
      <c r="R40" s="201"/>
      <c r="S40" s="197"/>
      <c r="V40" s="17"/>
    </row>
    <row r="41" spans="1:22" ht="13.5" customHeight="1">
      <c r="A41" s="169"/>
      <c r="B41" s="55" t="s">
        <v>314</v>
      </c>
      <c r="C41" s="178" t="s">
        <v>315</v>
      </c>
      <c r="D41" s="53">
        <v>3</v>
      </c>
      <c r="E41" s="55">
        <v>10</v>
      </c>
      <c r="F41" s="134">
        <f>+INDEX(Especificaciones!$C$5:$C$25,MATCH('Flexible - D P19'!O41,Especificaciones!$B$5:$B$25,-1))</f>
        <v>0.2732</v>
      </c>
      <c r="G41" s="231">
        <v>2837.8</v>
      </c>
      <c r="H41" s="231">
        <v>0.81</v>
      </c>
      <c r="I41" s="53">
        <v>1</v>
      </c>
      <c r="J41" s="32">
        <f t="shared" ref="J41:J42" si="0">IF(I41&gt;=2*F41,H41/F41,(1-EXP(-2*$D$37*$D$38*H41/I41))/(2*$D$37*$D$38))</f>
        <v>2.9648609077598831</v>
      </c>
      <c r="K41" s="135">
        <f t="shared" ref="K41:K42" si="1">IF(I41&gt;=2*F41,J41*$G$37*F41^2,J41*$G$37*I41*F41)</f>
        <v>4.42584</v>
      </c>
      <c r="L41" s="135" t="s">
        <v>17</v>
      </c>
      <c r="N41" s="38"/>
      <c r="O41" s="55">
        <v>250</v>
      </c>
      <c r="P41" s="21">
        <f t="shared" ref="P41:P42" si="2">+F41+H41+0.1</f>
        <v>1.1832000000000003</v>
      </c>
      <c r="Q41" s="21">
        <f t="shared" ref="Q41:Q42" si="3">P41*1.5</f>
        <v>1.7748000000000004</v>
      </c>
      <c r="R41" s="13"/>
      <c r="S41" s="14"/>
      <c r="T41" s="29"/>
      <c r="U41" s="14"/>
      <c r="V41" s="29"/>
    </row>
    <row r="42" spans="1:22" ht="13.5" customHeight="1">
      <c r="A42" s="169"/>
      <c r="B42" s="55" t="s">
        <v>315</v>
      </c>
      <c r="C42" s="178" t="s">
        <v>168</v>
      </c>
      <c r="D42" s="53">
        <v>11.1</v>
      </c>
      <c r="E42" s="55">
        <v>10</v>
      </c>
      <c r="F42" s="134">
        <f>+INDEX(Especificaciones!$C$5:$C$25,MATCH('Flexible - D P19'!O42,Especificaciones!$B$5:$B$25,-1))</f>
        <v>0.2732</v>
      </c>
      <c r="G42" s="231">
        <v>2837.74</v>
      </c>
      <c r="H42" s="231">
        <v>0.81</v>
      </c>
      <c r="I42" s="53">
        <v>1</v>
      </c>
      <c r="J42" s="32">
        <f t="shared" si="0"/>
        <v>2.9648609077598831</v>
      </c>
      <c r="K42" s="135">
        <f t="shared" si="1"/>
        <v>4.42584</v>
      </c>
      <c r="L42" s="135" t="s">
        <v>17</v>
      </c>
      <c r="N42" s="38"/>
      <c r="O42" s="55">
        <v>250</v>
      </c>
      <c r="P42" s="21">
        <f t="shared" si="2"/>
        <v>1.1832000000000003</v>
      </c>
      <c r="Q42" s="21">
        <f t="shared" si="3"/>
        <v>1.7748000000000004</v>
      </c>
      <c r="R42" s="13"/>
      <c r="S42" s="14"/>
      <c r="T42" s="29"/>
      <c r="U42" s="14"/>
      <c r="V42" s="29"/>
    </row>
    <row r="43" spans="1:22">
      <c r="A43" s="199"/>
      <c r="B43" s="199"/>
      <c r="C43" s="35"/>
      <c r="D43" s="71"/>
      <c r="E43" s="36"/>
      <c r="F43" s="35"/>
      <c r="H43" s="35"/>
      <c r="I43" s="35"/>
      <c r="J43" s="60"/>
      <c r="K43" s="36"/>
      <c r="L43" s="36"/>
      <c r="M43" s="37"/>
      <c r="N43" s="38"/>
      <c r="O43" s="55"/>
      <c r="P43" s="21"/>
      <c r="Q43" s="21"/>
    </row>
    <row r="44" spans="1:22">
      <c r="A44" s="19" t="s">
        <v>18</v>
      </c>
      <c r="B44" s="39"/>
      <c r="C44" s="19"/>
      <c r="D44" s="19"/>
      <c r="E44" s="19"/>
      <c r="F44" s="19"/>
      <c r="G44" s="19"/>
      <c r="H44" s="19"/>
      <c r="I44" s="19"/>
      <c r="J44" s="19"/>
      <c r="K44" s="19"/>
      <c r="L44" s="19"/>
    </row>
    <row r="45" spans="1:22">
      <c r="A45" s="19"/>
      <c r="B45" s="19"/>
      <c r="C45" s="19"/>
      <c r="D45" s="19"/>
      <c r="E45" s="40"/>
      <c r="F45" s="20"/>
      <c r="G45" s="40"/>
      <c r="H45" s="19"/>
      <c r="I45" s="19"/>
      <c r="J45" s="19"/>
      <c r="K45" s="19"/>
      <c r="L45" s="19"/>
    </row>
    <row r="46" spans="1:22">
      <c r="A46" s="19"/>
      <c r="B46" s="19"/>
      <c r="C46" s="19"/>
      <c r="H46" s="19"/>
      <c r="I46" s="19"/>
      <c r="J46" s="19"/>
      <c r="K46" s="19"/>
      <c r="L46" s="19"/>
      <c r="O46" s="29"/>
    </row>
    <row r="47" spans="1:22">
      <c r="A47" s="19"/>
      <c r="B47" s="19"/>
      <c r="C47" s="19"/>
      <c r="H47" s="19"/>
      <c r="I47" s="19"/>
      <c r="J47" s="19"/>
      <c r="K47" s="19"/>
      <c r="L47" s="19"/>
    </row>
    <row r="48" spans="1:22">
      <c r="B48" s="19"/>
      <c r="C48" s="19"/>
      <c r="H48" s="19"/>
      <c r="I48" s="19"/>
      <c r="J48" s="19"/>
      <c r="K48" s="19"/>
      <c r="L48" s="19"/>
    </row>
    <row r="49" spans="1:26" s="31" customFormat="1" ht="11.25" customHeight="1">
      <c r="A49" s="19"/>
      <c r="B49" s="19"/>
      <c r="C49" s="19"/>
      <c r="D49" s="17" t="s">
        <v>2</v>
      </c>
      <c r="E49" s="19"/>
      <c r="F49" s="19"/>
      <c r="G49" s="19"/>
      <c r="H49" s="19"/>
      <c r="I49" s="19"/>
      <c r="J49" s="19"/>
      <c r="K49" s="19"/>
      <c r="L49" s="19"/>
      <c r="M49" s="17"/>
      <c r="N49" s="17"/>
      <c r="P49" s="17"/>
      <c r="Q49" s="17"/>
      <c r="R49" s="17"/>
      <c r="S49" s="17"/>
      <c r="T49" s="17"/>
      <c r="U49" s="17"/>
      <c r="W49" s="17"/>
      <c r="X49" s="17"/>
      <c r="Y49" s="17"/>
      <c r="Z49" s="17"/>
    </row>
    <row r="50" spans="1:26" s="31" customFormat="1" ht="16.5" customHeight="1">
      <c r="A50" s="19"/>
      <c r="B50" s="19"/>
      <c r="C50" s="19"/>
      <c r="D50" s="17"/>
      <c r="E50" s="40"/>
      <c r="F50" s="40"/>
      <c r="G50" s="40"/>
      <c r="H50" s="19"/>
      <c r="I50" s="19"/>
      <c r="J50" s="19"/>
      <c r="K50" s="19"/>
      <c r="L50" s="19"/>
      <c r="M50" s="17"/>
      <c r="N50" s="17"/>
      <c r="P50" s="17"/>
      <c r="Q50" s="17"/>
      <c r="R50" s="17"/>
      <c r="S50" s="17"/>
      <c r="T50" s="17"/>
      <c r="U50" s="17"/>
      <c r="W50" s="17"/>
      <c r="X50" s="17"/>
      <c r="Y50" s="17"/>
      <c r="Z50" s="17"/>
    </row>
    <row r="51" spans="1:26" s="31" customFormat="1" ht="18.75" customHeight="1">
      <c r="A51" s="19"/>
      <c r="B51" s="19"/>
      <c r="C51" s="19"/>
      <c r="D51" s="17"/>
      <c r="E51" s="40"/>
      <c r="F51" s="40"/>
      <c r="G51" s="40"/>
      <c r="H51" s="19"/>
      <c r="I51" s="19"/>
      <c r="J51" s="19"/>
      <c r="K51" s="19"/>
      <c r="L51" s="19"/>
      <c r="M51" s="17"/>
      <c r="N51" s="17"/>
      <c r="P51" s="17"/>
      <c r="Q51" s="17"/>
      <c r="R51" s="17"/>
      <c r="S51" s="17"/>
      <c r="T51" s="17"/>
      <c r="U51" s="17"/>
      <c r="W51" s="17"/>
      <c r="X51" s="17"/>
      <c r="Y51" s="17"/>
      <c r="Z51" s="17"/>
    </row>
    <row r="52" spans="1:26" s="31" customFormat="1" ht="18.75" customHeight="1">
      <c r="A52" s="19"/>
      <c r="B52" s="19"/>
      <c r="C52" s="19"/>
      <c r="D52" s="17"/>
      <c r="E52" s="40"/>
      <c r="F52" s="40"/>
      <c r="G52" s="40"/>
      <c r="H52" s="19"/>
      <c r="I52" s="19"/>
      <c r="J52" s="19"/>
      <c r="K52" s="19"/>
      <c r="L52" s="19"/>
      <c r="M52" s="17"/>
      <c r="N52" s="17"/>
      <c r="P52" s="17"/>
      <c r="Q52" s="17"/>
      <c r="R52" s="17"/>
      <c r="S52" s="17"/>
      <c r="T52" s="17"/>
      <c r="U52" s="17"/>
      <c r="W52" s="17"/>
      <c r="X52" s="17"/>
      <c r="Y52" s="17"/>
      <c r="Z52" s="17"/>
    </row>
    <row r="53" spans="1:26" s="31" customFormat="1" ht="12.75" customHeight="1">
      <c r="A53" s="19"/>
      <c r="B53" s="19"/>
      <c r="C53" s="19"/>
      <c r="D53" s="19"/>
      <c r="E53" s="40"/>
      <c r="F53" s="40"/>
      <c r="G53" s="40"/>
      <c r="H53" s="19"/>
      <c r="I53" s="19"/>
      <c r="J53" s="19"/>
      <c r="K53" s="19"/>
      <c r="L53" s="19"/>
      <c r="M53" s="17"/>
      <c r="N53" s="17"/>
      <c r="P53" s="17"/>
      <c r="Q53" s="17"/>
      <c r="R53" s="17"/>
      <c r="S53" s="17"/>
      <c r="T53" s="17"/>
      <c r="U53" s="17"/>
      <c r="W53" s="17"/>
      <c r="X53" s="17"/>
      <c r="Y53" s="17"/>
      <c r="Z53" s="17"/>
    </row>
    <row r="54" spans="1:26" s="31" customFormat="1" ht="15" customHeight="1">
      <c r="A54" s="19"/>
      <c r="B54" s="19"/>
      <c r="C54" s="19"/>
      <c r="D54" s="19"/>
      <c r="E54" s="40"/>
      <c r="F54" s="40"/>
      <c r="G54" s="40"/>
      <c r="H54" s="19"/>
      <c r="I54" s="19"/>
      <c r="J54" s="19"/>
      <c r="K54" s="19"/>
      <c r="L54" s="19"/>
      <c r="M54" s="17"/>
      <c r="N54" s="17"/>
      <c r="P54" s="17"/>
      <c r="Q54" s="17"/>
      <c r="R54" s="17"/>
      <c r="S54" s="17"/>
      <c r="T54" s="17"/>
      <c r="U54" s="17"/>
      <c r="W54" s="17"/>
      <c r="X54" s="17"/>
      <c r="Y54" s="17"/>
      <c r="Z54" s="17"/>
    </row>
    <row r="55" spans="1:26" ht="7.5" customHeight="1">
      <c r="A55" s="19"/>
      <c r="B55" s="19"/>
      <c r="C55" s="19"/>
      <c r="D55" s="19"/>
      <c r="E55" s="40"/>
      <c r="F55" s="40"/>
      <c r="G55" s="40"/>
      <c r="H55" s="19"/>
      <c r="I55" s="19"/>
      <c r="J55" s="19"/>
      <c r="K55" s="19"/>
      <c r="L55" s="19"/>
      <c r="M55" s="19"/>
    </row>
    <row r="56" spans="1:26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</row>
    <row r="57" spans="1:26">
      <c r="A57" s="17" t="s">
        <v>19</v>
      </c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</row>
    <row r="58" spans="1:26"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</row>
    <row r="59" spans="1:26">
      <c r="C59" s="139" t="s">
        <v>20</v>
      </c>
      <c r="D59" s="41">
        <v>80</v>
      </c>
      <c r="F59" s="19"/>
      <c r="G59" s="19"/>
      <c r="H59" s="19"/>
      <c r="I59" s="19"/>
      <c r="J59" s="19"/>
      <c r="K59" s="19"/>
      <c r="L59" s="19"/>
      <c r="M59" s="19"/>
    </row>
    <row r="60" spans="1:26">
      <c r="C60" s="295" t="s">
        <v>21</v>
      </c>
      <c r="D60" s="4">
        <v>1.2</v>
      </c>
      <c r="E60" s="1" t="s">
        <v>174</v>
      </c>
      <c r="F60" s="19"/>
      <c r="G60" s="19"/>
      <c r="H60" s="19"/>
      <c r="I60" s="19"/>
      <c r="J60" s="19"/>
      <c r="K60" s="19"/>
      <c r="L60" s="19"/>
      <c r="M60" s="19"/>
    </row>
    <row r="61" spans="1:26">
      <c r="C61" s="296"/>
      <c r="D61" s="4">
        <v>1.1000000000000001</v>
      </c>
      <c r="E61" s="1" t="s">
        <v>22</v>
      </c>
      <c r="F61" s="19"/>
      <c r="G61" s="19"/>
      <c r="H61" s="19"/>
      <c r="I61" s="19"/>
      <c r="J61" s="19"/>
      <c r="K61" s="19"/>
      <c r="L61" s="19"/>
      <c r="M61" s="19"/>
    </row>
    <row r="62" spans="1:26">
      <c r="C62" s="297"/>
      <c r="D62" s="42">
        <v>1</v>
      </c>
      <c r="E62" s="1" t="s">
        <v>175</v>
      </c>
      <c r="M62" s="19"/>
    </row>
    <row r="63" spans="1:26">
      <c r="M63" s="19"/>
    </row>
    <row r="64" spans="1:26" s="31" customFormat="1" ht="30" customHeight="1">
      <c r="A64" s="168"/>
      <c r="B64" s="138" t="str">
        <f>B$40</f>
        <v>Pozo de</v>
      </c>
      <c r="C64" s="202" t="str">
        <f>C$40</f>
        <v>Pozo a</v>
      </c>
      <c r="D64" s="202" t="s">
        <v>130</v>
      </c>
      <c r="E64" s="202" t="s">
        <v>209</v>
      </c>
      <c r="F64" s="202" t="s">
        <v>204</v>
      </c>
      <c r="G64" s="204" t="s">
        <v>134</v>
      </c>
      <c r="H64" s="202" t="s">
        <v>205</v>
      </c>
      <c r="I64" s="202" t="s">
        <v>224</v>
      </c>
      <c r="J64" s="202" t="s">
        <v>225</v>
      </c>
      <c r="K64" s="202" t="s">
        <v>210</v>
      </c>
      <c r="L64" s="202" t="s">
        <v>211</v>
      </c>
      <c r="N64" s="200" t="s">
        <v>23</v>
      </c>
      <c r="W64" s="17"/>
      <c r="X64" s="17"/>
    </row>
    <row r="65" spans="1:26" s="74" customFormat="1" ht="12" customHeight="1">
      <c r="A65" s="169"/>
      <c r="B65" s="140" t="str">
        <f t="shared" ref="B65:F66" si="4">+B41</f>
        <v>CR-15</v>
      </c>
      <c r="C65" s="140" t="str">
        <f t="shared" si="4"/>
        <v>CS-06</v>
      </c>
      <c r="D65" s="135">
        <f t="shared" si="4"/>
        <v>3</v>
      </c>
      <c r="E65" s="95">
        <f t="shared" si="4"/>
        <v>10</v>
      </c>
      <c r="F65" s="135">
        <f t="shared" si="4"/>
        <v>0.2732</v>
      </c>
      <c r="G65" s="135">
        <f>+H41</f>
        <v>0.81</v>
      </c>
      <c r="H65" s="135">
        <f>+I41</f>
        <v>1</v>
      </c>
      <c r="I65" s="135">
        <f t="shared" ref="I65:I66" si="5">0.5+1.75*G65</f>
        <v>1.9175</v>
      </c>
      <c r="J65" s="135">
        <f t="shared" ref="J65:J66" si="6">0.25+1.75*G65</f>
        <v>1.6675</v>
      </c>
      <c r="K65" s="135">
        <f t="shared" ref="K65:K66" si="7">I65+1.75*(3*F65/4)</f>
        <v>2.2760750000000001</v>
      </c>
      <c r="L65" s="96">
        <f t="shared" ref="L65:L66" si="8">$D$59*CHOOSE(N65,$D$60,$D$61,$D$62)/K65</f>
        <v>38.663049328339355</v>
      </c>
      <c r="M65" s="17"/>
      <c r="N65" s="75">
        <f t="shared" ref="N65:N66" si="9">IF(G65&lt;0.6,1,IF(G65&lt;0.91,2,3))</f>
        <v>2</v>
      </c>
    </row>
    <row r="66" spans="1:26" s="74" customFormat="1" ht="12" customHeight="1">
      <c r="A66" s="169"/>
      <c r="B66" s="140" t="str">
        <f t="shared" si="4"/>
        <v>CS-06</v>
      </c>
      <c r="C66" s="140" t="str">
        <f t="shared" si="4"/>
        <v>PA-04</v>
      </c>
      <c r="D66" s="135">
        <f t="shared" si="4"/>
        <v>11.1</v>
      </c>
      <c r="E66" s="95">
        <f t="shared" si="4"/>
        <v>10</v>
      </c>
      <c r="F66" s="135">
        <f t="shared" si="4"/>
        <v>0.2732</v>
      </c>
      <c r="G66" s="135">
        <f>+H42</f>
        <v>0.81</v>
      </c>
      <c r="H66" s="135">
        <f>+I42</f>
        <v>1</v>
      </c>
      <c r="I66" s="135">
        <f t="shared" si="5"/>
        <v>1.9175</v>
      </c>
      <c r="J66" s="135">
        <f t="shared" si="6"/>
        <v>1.6675</v>
      </c>
      <c r="K66" s="135">
        <f t="shared" si="7"/>
        <v>2.2760750000000001</v>
      </c>
      <c r="L66" s="96">
        <f t="shared" si="8"/>
        <v>38.663049328339355</v>
      </c>
      <c r="M66" s="17"/>
      <c r="N66" s="75">
        <f t="shared" si="9"/>
        <v>2</v>
      </c>
    </row>
    <row r="67" spans="1:26" s="74" customFormat="1" ht="11.25">
      <c r="E67" s="77"/>
      <c r="F67" s="78"/>
      <c r="G67" s="79"/>
      <c r="H67" s="79"/>
      <c r="I67" s="80"/>
      <c r="J67" s="80"/>
      <c r="K67" s="80"/>
    </row>
    <row r="68" spans="1:26">
      <c r="A68" s="19" t="s">
        <v>24</v>
      </c>
      <c r="D68" s="37"/>
      <c r="E68" s="30"/>
      <c r="F68" s="43"/>
      <c r="G68" s="43"/>
      <c r="H68" s="36"/>
      <c r="I68" s="36"/>
      <c r="J68" s="36"/>
    </row>
    <row r="69" spans="1:26">
      <c r="D69" s="37"/>
      <c r="E69" s="30"/>
      <c r="F69" s="43"/>
      <c r="G69" s="43"/>
      <c r="H69" s="36"/>
      <c r="I69" s="36"/>
      <c r="J69" s="36"/>
    </row>
    <row r="70" spans="1:26">
      <c r="A70" s="298" t="s">
        <v>116</v>
      </c>
      <c r="B70" s="298"/>
      <c r="C70" s="298"/>
      <c r="D70" s="298"/>
      <c r="E70" s="298"/>
      <c r="F70" s="298"/>
      <c r="G70" s="298"/>
      <c r="H70" s="298"/>
      <c r="I70" s="298"/>
      <c r="J70" s="298"/>
      <c r="K70" s="298"/>
      <c r="L70" s="298"/>
      <c r="M70" s="298"/>
    </row>
    <row r="71" spans="1:26">
      <c r="A71" s="298"/>
      <c r="B71" s="298"/>
      <c r="C71" s="298"/>
      <c r="D71" s="298"/>
      <c r="E71" s="298"/>
      <c r="F71" s="298"/>
      <c r="G71" s="298"/>
      <c r="H71" s="298"/>
      <c r="I71" s="298"/>
      <c r="J71" s="298"/>
      <c r="K71" s="298"/>
      <c r="L71" s="298"/>
      <c r="M71" s="298"/>
    </row>
    <row r="72" spans="1:26">
      <c r="D72" s="37"/>
      <c r="E72" s="30"/>
      <c r="F72" s="43"/>
      <c r="G72" s="43"/>
      <c r="H72" s="36"/>
      <c r="I72" s="36"/>
      <c r="J72" s="36"/>
    </row>
    <row r="73" spans="1:26">
      <c r="D73" s="37"/>
      <c r="E73" s="30"/>
      <c r="F73" s="43"/>
      <c r="G73" s="43"/>
      <c r="H73" s="36"/>
      <c r="I73" s="36"/>
      <c r="J73" s="36"/>
      <c r="P73" s="19"/>
      <c r="Q73" s="19"/>
      <c r="R73" s="19"/>
      <c r="S73" s="19"/>
      <c r="T73" s="19"/>
      <c r="U73" s="19"/>
      <c r="V73" s="19"/>
      <c r="Y73" s="19"/>
      <c r="Z73" s="19"/>
    </row>
    <row r="74" spans="1:26">
      <c r="D74" s="37"/>
      <c r="E74" s="30"/>
      <c r="F74" s="43"/>
      <c r="G74" s="43"/>
      <c r="H74" s="36"/>
      <c r="I74" s="36"/>
      <c r="J74" s="36"/>
      <c r="P74" s="19"/>
      <c r="Q74" s="19"/>
      <c r="R74" s="19"/>
      <c r="S74" s="19"/>
      <c r="T74" s="19"/>
      <c r="U74" s="19"/>
      <c r="V74" s="19"/>
      <c r="Y74" s="19"/>
      <c r="Z74" s="19"/>
    </row>
    <row r="75" spans="1:26">
      <c r="D75" s="37"/>
      <c r="E75" s="30"/>
      <c r="F75" s="43"/>
      <c r="G75" s="43"/>
      <c r="H75" s="36"/>
      <c r="I75" s="36"/>
      <c r="J75" s="36"/>
      <c r="P75" s="19"/>
      <c r="Q75" s="19"/>
      <c r="R75" s="19"/>
      <c r="S75" s="19"/>
      <c r="T75" s="19"/>
      <c r="U75" s="19"/>
      <c r="V75" s="19"/>
      <c r="Y75" s="19"/>
      <c r="Z75" s="19"/>
    </row>
    <row r="76" spans="1:26">
      <c r="D76" s="37"/>
      <c r="E76" s="30"/>
      <c r="F76" s="43"/>
      <c r="G76" s="43"/>
      <c r="H76" s="36"/>
      <c r="I76" s="36"/>
      <c r="J76" s="36"/>
      <c r="P76" s="19"/>
      <c r="Q76" s="19"/>
      <c r="R76" s="19"/>
      <c r="S76" s="19"/>
      <c r="T76" s="19"/>
      <c r="U76" s="19"/>
      <c r="V76" s="19"/>
      <c r="Y76" s="19"/>
      <c r="Z76" s="19"/>
    </row>
    <row r="77" spans="1:26">
      <c r="A77" s="17" t="s">
        <v>2</v>
      </c>
      <c r="D77" s="37"/>
      <c r="E77" s="30"/>
      <c r="F77" s="43"/>
      <c r="G77" s="43"/>
      <c r="H77" s="36"/>
      <c r="I77" s="36"/>
      <c r="J77" s="36"/>
      <c r="P77" s="19"/>
      <c r="Q77" s="19"/>
      <c r="R77" s="19"/>
      <c r="S77" s="19"/>
      <c r="T77" s="19"/>
      <c r="U77" s="19"/>
      <c r="V77" s="19"/>
      <c r="Y77" s="19"/>
      <c r="Z77" s="19"/>
    </row>
    <row r="78" spans="1:26">
      <c r="C78" s="44" t="s">
        <v>100</v>
      </c>
      <c r="D78" s="45" t="s">
        <v>25</v>
      </c>
      <c r="E78" s="30"/>
      <c r="F78" s="43"/>
      <c r="G78" s="43"/>
      <c r="H78" s="36"/>
      <c r="I78" s="36"/>
      <c r="J78" s="36"/>
      <c r="O78" s="72"/>
      <c r="P78" s="154"/>
      <c r="Q78" s="154"/>
      <c r="R78" s="154"/>
      <c r="S78" s="19"/>
      <c r="T78" s="19"/>
      <c r="U78" s="19"/>
      <c r="V78" s="19"/>
      <c r="Y78" s="19"/>
      <c r="Z78" s="19"/>
    </row>
    <row r="79" spans="1:26">
      <c r="C79" s="44" t="s">
        <v>101</v>
      </c>
      <c r="D79" s="45" t="s">
        <v>27</v>
      </c>
      <c r="E79" s="30"/>
      <c r="F79" s="43"/>
      <c r="G79" s="43"/>
      <c r="H79" s="36"/>
      <c r="I79" s="36"/>
      <c r="J79" s="36"/>
      <c r="O79" s="199"/>
      <c r="P79" s="155"/>
      <c r="Q79" s="154"/>
      <c r="R79" s="154"/>
      <c r="S79" s="19"/>
      <c r="T79" s="19"/>
      <c r="U79" s="19"/>
      <c r="V79" s="19"/>
      <c r="W79" s="19"/>
      <c r="X79" s="19"/>
      <c r="Y79" s="19"/>
      <c r="Z79" s="19"/>
    </row>
    <row r="80" spans="1:26">
      <c r="C80" s="17" t="s">
        <v>26</v>
      </c>
      <c r="D80" s="45" t="s">
        <v>76</v>
      </c>
      <c r="E80" s="30"/>
      <c r="F80" s="43"/>
      <c r="G80" s="43"/>
      <c r="H80" s="36"/>
      <c r="I80" s="36"/>
      <c r="J80" s="36"/>
      <c r="O80" s="72"/>
      <c r="P80" s="155"/>
      <c r="Q80" s="154"/>
      <c r="R80" s="154"/>
      <c r="S80" s="19"/>
      <c r="T80" s="19"/>
      <c r="U80" s="19"/>
      <c r="V80" s="19"/>
      <c r="W80" s="19"/>
      <c r="X80" s="19"/>
      <c r="Y80" s="19"/>
      <c r="Z80" s="19"/>
    </row>
    <row r="81" spans="1:240" ht="13.5">
      <c r="C81" s="46" t="s">
        <v>102</v>
      </c>
      <c r="D81" s="45" t="s">
        <v>28</v>
      </c>
      <c r="E81" s="30"/>
      <c r="F81" s="43"/>
      <c r="G81" s="43"/>
      <c r="H81" s="36"/>
      <c r="I81" s="36"/>
      <c r="J81" s="36"/>
      <c r="O81" s="72"/>
      <c r="P81" s="155"/>
      <c r="Q81" s="154"/>
      <c r="R81" s="154"/>
    </row>
    <row r="82" spans="1:240">
      <c r="C82" s="17" t="s">
        <v>29</v>
      </c>
      <c r="D82" s="45" t="s">
        <v>30</v>
      </c>
      <c r="E82" s="30"/>
      <c r="F82" s="43"/>
      <c r="G82" s="43"/>
      <c r="H82" s="36"/>
      <c r="I82" s="36"/>
      <c r="J82" s="36"/>
      <c r="O82" s="72"/>
      <c r="P82" s="72"/>
      <c r="Q82" s="72"/>
      <c r="R82" s="72"/>
    </row>
    <row r="83" spans="1:240">
      <c r="C83" s="17" t="s">
        <v>31</v>
      </c>
      <c r="D83" s="45" t="s">
        <v>32</v>
      </c>
      <c r="E83" s="30"/>
      <c r="F83" s="43"/>
      <c r="G83" s="43"/>
      <c r="H83" s="36"/>
      <c r="I83" s="36"/>
      <c r="J83" s="36"/>
      <c r="O83" s="72"/>
      <c r="P83" s="72"/>
      <c r="Q83" s="72"/>
      <c r="R83" s="72"/>
      <c r="S83" s="301" t="s">
        <v>50</v>
      </c>
      <c r="T83" s="301" t="s">
        <v>51</v>
      </c>
      <c r="U83" s="301"/>
      <c r="V83" s="301"/>
      <c r="W83" s="301"/>
      <c r="X83" s="301"/>
      <c r="Y83" s="301"/>
      <c r="Z83" s="301"/>
      <c r="AA83" s="301"/>
    </row>
    <row r="84" spans="1:240">
      <c r="D84" s="45" t="s">
        <v>33</v>
      </c>
      <c r="E84" s="30"/>
      <c r="F84" s="43"/>
      <c r="G84" s="43"/>
      <c r="H84" s="36"/>
      <c r="I84" s="36"/>
      <c r="J84" s="36"/>
      <c r="O84" s="19"/>
      <c r="S84" s="301"/>
      <c r="T84" s="116">
        <v>1.25</v>
      </c>
      <c r="U84" s="116">
        <v>1.5</v>
      </c>
      <c r="V84" s="116">
        <v>1.75</v>
      </c>
      <c r="W84" s="116">
        <v>2</v>
      </c>
      <c r="X84" s="116">
        <v>2.5</v>
      </c>
      <c r="Y84" s="116">
        <v>3</v>
      </c>
      <c r="Z84" s="116">
        <v>4</v>
      </c>
      <c r="AA84" s="116">
        <v>5</v>
      </c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  <c r="HN84" s="19"/>
      <c r="HO84" s="19"/>
      <c r="HP84" s="19"/>
      <c r="HQ84" s="19"/>
      <c r="HR84" s="19"/>
      <c r="HS84" s="19"/>
      <c r="HT84" s="19"/>
      <c r="HU84" s="19"/>
      <c r="HV84" s="19"/>
      <c r="HW84" s="19"/>
      <c r="HX84" s="19"/>
      <c r="HY84" s="19"/>
      <c r="HZ84" s="19"/>
      <c r="IA84" s="19"/>
      <c r="IB84" s="19"/>
      <c r="IC84" s="19"/>
      <c r="ID84" s="19"/>
      <c r="IE84" s="19"/>
      <c r="IF84" s="19"/>
    </row>
    <row r="85" spans="1:240">
      <c r="C85" s="17" t="s">
        <v>34</v>
      </c>
      <c r="D85" s="45" t="s">
        <v>35</v>
      </c>
      <c r="E85" s="30"/>
      <c r="F85" s="43"/>
      <c r="G85" s="43"/>
      <c r="H85" s="36"/>
      <c r="I85" s="36"/>
      <c r="J85" s="36"/>
      <c r="O85" s="19"/>
      <c r="S85" s="196">
        <v>5.0000000000000001E-3</v>
      </c>
      <c r="T85" s="21">
        <v>0.02</v>
      </c>
      <c r="U85" s="21">
        <v>0.05</v>
      </c>
      <c r="V85" s="21">
        <v>0.08</v>
      </c>
      <c r="W85" s="21">
        <v>0.12</v>
      </c>
      <c r="X85" s="21">
        <v>0.23</v>
      </c>
      <c r="Y85" s="21">
        <v>0.43</v>
      </c>
      <c r="Z85" s="21">
        <v>0.72</v>
      </c>
      <c r="AA85" s="21">
        <v>1</v>
      </c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  <c r="HN85" s="19"/>
      <c r="HO85" s="19"/>
      <c r="HP85" s="19"/>
      <c r="HQ85" s="19"/>
      <c r="HR85" s="19"/>
      <c r="HS85" s="19"/>
      <c r="HT85" s="19"/>
      <c r="HU85" s="19"/>
      <c r="HV85" s="19"/>
      <c r="HW85" s="19"/>
      <c r="HX85" s="19"/>
      <c r="HY85" s="19"/>
      <c r="HZ85" s="19"/>
      <c r="IA85" s="19"/>
      <c r="IB85" s="19"/>
      <c r="IC85" s="19"/>
      <c r="ID85" s="19"/>
      <c r="IE85" s="19"/>
      <c r="IF85" s="19"/>
    </row>
    <row r="86" spans="1:240">
      <c r="C86" s="17" t="s">
        <v>36</v>
      </c>
      <c r="D86" s="45" t="s">
        <v>37</v>
      </c>
      <c r="E86" s="30"/>
      <c r="F86" s="43"/>
      <c r="G86" s="43"/>
      <c r="H86" s="36"/>
      <c r="I86" s="36"/>
      <c r="J86" s="36"/>
      <c r="O86" s="19"/>
      <c r="S86" s="196">
        <v>0.01</v>
      </c>
      <c r="T86" s="21">
        <v>0.03</v>
      </c>
      <c r="U86" s="21">
        <v>7.0000000000000007E-2</v>
      </c>
      <c r="V86" s="21">
        <v>0.11</v>
      </c>
      <c r="W86" s="21">
        <v>0.15</v>
      </c>
      <c r="X86" s="21">
        <v>0.27</v>
      </c>
      <c r="Y86" s="21">
        <v>0.47</v>
      </c>
      <c r="Z86" s="21">
        <v>0.74</v>
      </c>
      <c r="AA86" s="21">
        <v>1</v>
      </c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  <c r="HM86" s="19"/>
      <c r="HN86" s="19"/>
      <c r="HO86" s="19"/>
      <c r="HP86" s="19"/>
      <c r="HQ86" s="19"/>
      <c r="HR86" s="19"/>
      <c r="HS86" s="19"/>
      <c r="HT86" s="19"/>
      <c r="HU86" s="19"/>
      <c r="HV86" s="19"/>
      <c r="HW86" s="19"/>
      <c r="HX86" s="19"/>
      <c r="HY86" s="19"/>
      <c r="HZ86" s="19"/>
      <c r="IA86" s="19"/>
      <c r="IB86" s="19"/>
      <c r="IC86" s="19"/>
      <c r="ID86" s="19"/>
      <c r="IE86" s="19"/>
      <c r="IF86" s="19"/>
    </row>
    <row r="87" spans="1:240" ht="13.5">
      <c r="C87" s="17" t="s">
        <v>38</v>
      </c>
      <c r="D87" s="45" t="s">
        <v>103</v>
      </c>
      <c r="E87" s="30"/>
      <c r="F87" s="43"/>
      <c r="G87" s="43"/>
      <c r="H87" s="36"/>
      <c r="I87" s="36"/>
      <c r="J87" s="36"/>
      <c r="O87" s="19"/>
      <c r="S87" s="196">
        <v>0.02</v>
      </c>
      <c r="T87" s="21">
        <v>0.05</v>
      </c>
      <c r="U87" s="21">
        <v>0.1</v>
      </c>
      <c r="V87" s="21">
        <v>0.15</v>
      </c>
      <c r="W87" s="21">
        <v>0.2</v>
      </c>
      <c r="X87" s="21">
        <v>0.32</v>
      </c>
      <c r="Y87" s="21">
        <v>0.52</v>
      </c>
      <c r="Z87" s="21">
        <v>0.77</v>
      </c>
      <c r="AA87" s="21">
        <v>1</v>
      </c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  <c r="HK87" s="19"/>
      <c r="HL87" s="19"/>
      <c r="HM87" s="19"/>
      <c r="HN87" s="19"/>
      <c r="HO87" s="19"/>
      <c r="HP87" s="19"/>
      <c r="HQ87" s="19"/>
      <c r="HR87" s="19"/>
      <c r="HS87" s="19"/>
      <c r="HT87" s="19"/>
      <c r="HU87" s="19"/>
      <c r="HV87" s="19"/>
      <c r="HW87" s="19"/>
      <c r="HX87" s="19"/>
      <c r="HY87" s="19"/>
      <c r="HZ87" s="19"/>
      <c r="IA87" s="19"/>
      <c r="IB87" s="19"/>
      <c r="IC87" s="19"/>
      <c r="ID87" s="19"/>
      <c r="IE87" s="19"/>
    </row>
    <row r="88" spans="1:240">
      <c r="C88" s="17" t="s">
        <v>39</v>
      </c>
      <c r="D88" s="45" t="s">
        <v>40</v>
      </c>
      <c r="E88" s="30"/>
      <c r="F88" s="43"/>
      <c r="G88" s="43"/>
      <c r="H88" s="36"/>
      <c r="I88" s="36"/>
      <c r="J88" s="36"/>
      <c r="O88" s="19"/>
      <c r="S88" s="196">
        <v>0.05</v>
      </c>
      <c r="T88" s="21">
        <v>0.1</v>
      </c>
      <c r="U88" s="21">
        <v>0.15</v>
      </c>
      <c r="V88" s="21">
        <v>0.2</v>
      </c>
      <c r="W88" s="21">
        <v>0.27</v>
      </c>
      <c r="X88" s="21">
        <v>0.38</v>
      </c>
      <c r="Y88" s="21">
        <v>0.57999999999999996</v>
      </c>
      <c r="Z88" s="21">
        <v>0.8</v>
      </c>
      <c r="AA88" s="21">
        <v>1</v>
      </c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  <c r="HO88" s="19"/>
      <c r="HP88" s="19"/>
      <c r="HQ88" s="19"/>
      <c r="HR88" s="19"/>
      <c r="HS88" s="19"/>
      <c r="HT88" s="19"/>
      <c r="HU88" s="19"/>
      <c r="HV88" s="19"/>
      <c r="HW88" s="19"/>
      <c r="HX88" s="19"/>
      <c r="HY88" s="19"/>
      <c r="HZ88" s="19"/>
      <c r="IA88" s="19"/>
      <c r="IB88" s="19"/>
      <c r="IC88" s="19"/>
      <c r="ID88" s="19"/>
      <c r="IE88" s="19"/>
      <c r="IF88" s="19"/>
    </row>
    <row r="89" spans="1:240">
      <c r="D89" s="45" t="s">
        <v>199</v>
      </c>
      <c r="E89" s="30"/>
      <c r="F89" s="43"/>
      <c r="G89" s="43"/>
      <c r="H89" s="36"/>
      <c r="I89" s="36"/>
      <c r="J89" s="36"/>
      <c r="O89" s="19"/>
      <c r="S89" s="115">
        <v>0.1</v>
      </c>
      <c r="T89" s="21">
        <v>0.15</v>
      </c>
      <c r="U89" s="21">
        <v>0.2</v>
      </c>
      <c r="V89" s="21">
        <v>0.27</v>
      </c>
      <c r="W89" s="21">
        <v>0.35</v>
      </c>
      <c r="X89" s="21">
        <v>0.46</v>
      </c>
      <c r="Y89" s="21">
        <v>0.65</v>
      </c>
      <c r="Z89" s="21">
        <v>0.84</v>
      </c>
      <c r="AA89" s="21">
        <v>1</v>
      </c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</row>
    <row r="90" spans="1:240">
      <c r="D90" s="45" t="s">
        <v>200</v>
      </c>
      <c r="E90" s="30"/>
      <c r="F90" s="43"/>
      <c r="G90" s="43"/>
      <c r="H90" s="36"/>
      <c r="I90" s="36"/>
      <c r="J90" s="36"/>
      <c r="O90" s="19"/>
      <c r="S90" s="115">
        <v>0.2</v>
      </c>
      <c r="T90" s="21">
        <v>0.25</v>
      </c>
      <c r="U90" s="21">
        <v>0.3</v>
      </c>
      <c r="V90" s="21">
        <v>0.38</v>
      </c>
      <c r="W90" s="21">
        <v>0.47</v>
      </c>
      <c r="X90" s="21">
        <v>0.57999999999999996</v>
      </c>
      <c r="Y90" s="21">
        <v>0.75</v>
      </c>
      <c r="Z90" s="21">
        <v>0.88</v>
      </c>
      <c r="AA90" s="21">
        <v>1</v>
      </c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</row>
    <row r="91" spans="1:240">
      <c r="D91" s="45" t="s">
        <v>201</v>
      </c>
      <c r="E91" s="30"/>
      <c r="F91" s="43"/>
      <c r="G91" s="43"/>
      <c r="H91" s="36"/>
      <c r="I91" s="36"/>
      <c r="J91" s="36"/>
      <c r="O91" s="19"/>
      <c r="S91" s="115">
        <v>0.4</v>
      </c>
      <c r="T91" s="21">
        <v>0.45</v>
      </c>
      <c r="U91" s="21">
        <v>0.5</v>
      </c>
      <c r="V91" s="21">
        <v>0.56000000000000005</v>
      </c>
      <c r="W91" s="21">
        <v>0.64</v>
      </c>
      <c r="X91" s="21">
        <v>0.75</v>
      </c>
      <c r="Y91" s="239">
        <v>0.85</v>
      </c>
      <c r="Z91" s="239">
        <v>0.93</v>
      </c>
      <c r="AA91" s="21">
        <v>1</v>
      </c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  <c r="HY91" s="19"/>
      <c r="HZ91" s="19"/>
      <c r="IA91" s="19"/>
      <c r="IB91" s="19"/>
      <c r="IC91" s="19"/>
      <c r="ID91" s="19"/>
      <c r="IE91" s="19"/>
      <c r="IF91" s="19"/>
    </row>
    <row r="92" spans="1:240">
      <c r="D92" s="45"/>
      <c r="E92" s="30"/>
      <c r="F92" s="43"/>
      <c r="G92" s="43"/>
      <c r="H92" s="36"/>
      <c r="I92" s="36"/>
      <c r="J92" s="36"/>
      <c r="O92" s="19"/>
      <c r="S92" s="115">
        <v>0.6</v>
      </c>
      <c r="T92" s="21">
        <v>0.65</v>
      </c>
      <c r="U92" s="21">
        <v>0.7</v>
      </c>
      <c r="V92" s="21">
        <v>0.75</v>
      </c>
      <c r="W92" s="21">
        <v>0.81</v>
      </c>
      <c r="X92" s="21">
        <v>0.87</v>
      </c>
      <c r="Y92" s="239">
        <v>0.94</v>
      </c>
      <c r="Z92" s="239">
        <v>0.98</v>
      </c>
      <c r="AA92" s="21">
        <v>1</v>
      </c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  <c r="HM92" s="19"/>
      <c r="HN92" s="19"/>
      <c r="HO92" s="19"/>
      <c r="HP92" s="19"/>
      <c r="HQ92" s="19"/>
      <c r="HR92" s="19"/>
      <c r="HS92" s="19"/>
      <c r="HT92" s="19"/>
      <c r="HU92" s="19"/>
      <c r="HV92" s="19"/>
      <c r="HW92" s="19"/>
      <c r="HX92" s="19"/>
      <c r="HY92" s="19"/>
      <c r="HZ92" s="19"/>
      <c r="IA92" s="19"/>
      <c r="IB92" s="19"/>
      <c r="IC92" s="19"/>
      <c r="ID92" s="19"/>
      <c r="IE92" s="19"/>
      <c r="IF92" s="19"/>
    </row>
    <row r="93" spans="1:240">
      <c r="D93" s="37"/>
      <c r="E93" s="30"/>
      <c r="F93" s="43"/>
      <c r="G93" s="43"/>
      <c r="H93" s="36"/>
      <c r="I93" s="36"/>
      <c r="J93" s="36"/>
      <c r="O93" s="196" t="s">
        <v>198</v>
      </c>
      <c r="P93" s="196" t="s">
        <v>46</v>
      </c>
      <c r="Q93" s="196" t="s">
        <v>197</v>
      </c>
      <c r="S93" s="115">
        <v>0.8</v>
      </c>
      <c r="T93" s="21">
        <v>0.84</v>
      </c>
      <c r="U93" s="21">
        <v>0.87</v>
      </c>
      <c r="V93" s="21">
        <v>0.9</v>
      </c>
      <c r="W93" s="21">
        <v>0.93</v>
      </c>
      <c r="X93" s="21">
        <v>0.96</v>
      </c>
      <c r="Y93" s="21">
        <v>0.98</v>
      </c>
      <c r="Z93" s="21">
        <v>1</v>
      </c>
      <c r="AA93" s="21">
        <v>1</v>
      </c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</row>
    <row r="94" spans="1:240">
      <c r="A94" s="17" t="s">
        <v>41</v>
      </c>
      <c r="I94" s="36"/>
      <c r="J94" s="36"/>
      <c r="O94" s="198">
        <v>1</v>
      </c>
      <c r="P94" s="198">
        <v>0.105</v>
      </c>
      <c r="Q94" s="198">
        <v>14000</v>
      </c>
      <c r="S94" s="115">
        <v>1</v>
      </c>
      <c r="T94" s="21">
        <v>1</v>
      </c>
      <c r="U94" s="21">
        <v>1</v>
      </c>
      <c r="V94" s="21">
        <v>1</v>
      </c>
      <c r="W94" s="21">
        <v>1</v>
      </c>
      <c r="X94" s="21">
        <v>1</v>
      </c>
      <c r="Y94" s="21">
        <v>1</v>
      </c>
      <c r="Z94" s="21">
        <v>1</v>
      </c>
      <c r="AA94" s="21">
        <v>1</v>
      </c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  <c r="HO94" s="19"/>
      <c r="HP94" s="19"/>
      <c r="HQ94" s="19"/>
      <c r="HR94" s="19"/>
      <c r="HS94" s="19"/>
      <c r="HT94" s="19"/>
      <c r="HU94" s="19"/>
      <c r="HV94" s="19"/>
      <c r="HW94" s="19"/>
      <c r="HX94" s="19"/>
      <c r="HY94" s="19"/>
      <c r="HZ94" s="19"/>
      <c r="IA94" s="19"/>
      <c r="IB94" s="19"/>
      <c r="IC94" s="19"/>
      <c r="ID94" s="19"/>
      <c r="IE94" s="19"/>
      <c r="IF94" s="19"/>
    </row>
    <row r="95" spans="1:240">
      <c r="C95" s="47"/>
      <c r="I95" s="36"/>
      <c r="J95" s="36"/>
      <c r="O95" s="117">
        <v>2</v>
      </c>
      <c r="P95" s="117">
        <v>0.1</v>
      </c>
      <c r="Q95" s="117">
        <v>11000</v>
      </c>
      <c r="S95" s="115">
        <v>1.5</v>
      </c>
      <c r="T95" s="21">
        <v>1.4</v>
      </c>
      <c r="U95" s="21">
        <v>1.3</v>
      </c>
      <c r="V95" s="21">
        <v>1.2</v>
      </c>
      <c r="W95" s="21">
        <v>1.1200000000000001</v>
      </c>
      <c r="X95" s="21">
        <v>1.06</v>
      </c>
      <c r="Y95" s="21">
        <v>1.03</v>
      </c>
      <c r="Z95" s="21">
        <v>1</v>
      </c>
      <c r="AA95" s="21">
        <v>1</v>
      </c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  <c r="HK95" s="19"/>
      <c r="HL95" s="19"/>
      <c r="HM95" s="19"/>
      <c r="HN95" s="19"/>
      <c r="HO95" s="19"/>
      <c r="HP95" s="19"/>
      <c r="HQ95" s="19"/>
      <c r="HR95" s="19"/>
      <c r="HS95" s="19"/>
      <c r="HT95" s="19"/>
      <c r="HU95" s="19"/>
      <c r="HV95" s="19"/>
      <c r="HW95" s="19"/>
      <c r="HX95" s="19"/>
      <c r="HY95" s="19"/>
      <c r="HZ95" s="19"/>
      <c r="IA95" s="19"/>
      <c r="IB95" s="19"/>
      <c r="IC95" s="19"/>
      <c r="ID95" s="19"/>
      <c r="IE95" s="19"/>
      <c r="IF95" s="19"/>
    </row>
    <row r="96" spans="1:240" ht="13.5">
      <c r="B96" s="48" t="s">
        <v>102</v>
      </c>
      <c r="C96" s="49"/>
      <c r="D96" s="41">
        <v>1.5</v>
      </c>
      <c r="E96" s="72"/>
      <c r="F96" s="72"/>
      <c r="G96" s="72"/>
      <c r="H96" s="72"/>
      <c r="I96" s="36"/>
      <c r="J96" s="36"/>
      <c r="K96" s="72"/>
      <c r="L96" s="72"/>
      <c r="O96" s="198">
        <v>3</v>
      </c>
      <c r="P96" s="198">
        <v>9.6000000000000002E-2</v>
      </c>
      <c r="Q96" s="198">
        <v>4000</v>
      </c>
      <c r="S96" s="115">
        <v>2</v>
      </c>
      <c r="T96" s="21">
        <v>1.7</v>
      </c>
      <c r="U96" s="21">
        <v>1.5</v>
      </c>
      <c r="V96" s="21">
        <v>1.4</v>
      </c>
      <c r="W96" s="21">
        <v>1.3</v>
      </c>
      <c r="X96" s="21">
        <v>1.2</v>
      </c>
      <c r="Y96" s="21">
        <v>1.1000000000000001</v>
      </c>
      <c r="Z96" s="21">
        <v>1.05</v>
      </c>
      <c r="AA96" s="21">
        <v>1</v>
      </c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  <c r="HK96" s="19"/>
      <c r="HL96" s="19"/>
      <c r="HM96" s="19"/>
      <c r="HN96" s="19"/>
      <c r="HO96" s="19"/>
      <c r="HP96" s="19"/>
      <c r="HQ96" s="19"/>
      <c r="HR96" s="19"/>
      <c r="HS96" s="19"/>
      <c r="HT96" s="19"/>
      <c r="HU96" s="19"/>
      <c r="HV96" s="19"/>
      <c r="HW96" s="19"/>
      <c r="HX96" s="19"/>
      <c r="HY96" s="19"/>
      <c r="HZ96" s="19"/>
      <c r="IA96" s="19"/>
      <c r="IB96" s="19"/>
      <c r="IC96" s="19"/>
      <c r="ID96" s="19"/>
      <c r="IE96" s="19"/>
      <c r="IF96" s="19"/>
    </row>
    <row r="97" spans="1:240" ht="13.5">
      <c r="B97" s="50" t="s">
        <v>104</v>
      </c>
      <c r="C97" s="51"/>
      <c r="D97" s="53">
        <f>0.149*57</f>
        <v>8.4930000000000003</v>
      </c>
      <c r="E97" s="123" t="s">
        <v>42</v>
      </c>
      <c r="F97" s="72"/>
      <c r="G97" s="72"/>
      <c r="H97" s="72"/>
      <c r="I97" s="36"/>
      <c r="J97" s="36"/>
      <c r="K97" s="72"/>
      <c r="L97" s="72"/>
      <c r="O97" s="198">
        <v>4</v>
      </c>
      <c r="P97" s="198">
        <v>0.1</v>
      </c>
      <c r="Q97" s="198">
        <v>16000</v>
      </c>
      <c r="S97" s="115">
        <v>3</v>
      </c>
      <c r="T97" s="21">
        <v>2.2000000000000002</v>
      </c>
      <c r="U97" s="21">
        <v>1.8</v>
      </c>
      <c r="V97" s="21">
        <v>1.65</v>
      </c>
      <c r="W97" s="21">
        <v>1.5</v>
      </c>
      <c r="X97" s="21">
        <v>1.35</v>
      </c>
      <c r="Y97" s="21">
        <v>1.2</v>
      </c>
      <c r="Z97" s="21">
        <v>1.1000000000000001</v>
      </c>
      <c r="AA97" s="21">
        <v>1</v>
      </c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  <c r="HM97" s="19"/>
      <c r="HN97" s="19"/>
      <c r="HO97" s="19"/>
      <c r="HP97" s="19"/>
      <c r="HQ97" s="19"/>
      <c r="HR97" s="19"/>
      <c r="HS97" s="19"/>
      <c r="HT97" s="19"/>
      <c r="HU97" s="19"/>
      <c r="HV97" s="19"/>
      <c r="HW97" s="19"/>
      <c r="HX97" s="19"/>
      <c r="HY97" s="19"/>
      <c r="HZ97" s="19"/>
      <c r="IA97" s="19"/>
      <c r="IB97" s="19"/>
      <c r="IC97" s="19"/>
      <c r="ID97" s="19"/>
      <c r="IE97" s="19"/>
      <c r="IF97" s="19"/>
    </row>
    <row r="98" spans="1:240" ht="13.5">
      <c r="B98" s="50" t="s">
        <v>105</v>
      </c>
      <c r="C98" s="51"/>
      <c r="D98" s="54">
        <f>D97/14.21*100</f>
        <v>59.767769176636165</v>
      </c>
      <c r="E98" s="123" t="s">
        <v>43</v>
      </c>
      <c r="F98" s="123"/>
      <c r="G98" s="123"/>
      <c r="H98" s="123"/>
      <c r="I98" s="60"/>
      <c r="J98" s="60"/>
      <c r="K98" s="123"/>
      <c r="L98" s="72"/>
      <c r="S98" s="115">
        <v>5</v>
      </c>
      <c r="T98" s="21">
        <v>3</v>
      </c>
      <c r="U98" s="21">
        <v>2.2000000000000002</v>
      </c>
      <c r="V98" s="21">
        <v>1.9</v>
      </c>
      <c r="W98" s="21">
        <v>1.7</v>
      </c>
      <c r="X98" s="21">
        <v>1.5</v>
      </c>
      <c r="Y98" s="21">
        <v>1.3</v>
      </c>
      <c r="Z98" s="21">
        <v>1.1499999999999999</v>
      </c>
      <c r="AA98" s="21">
        <v>1</v>
      </c>
    </row>
    <row r="99" spans="1:240" ht="13.5">
      <c r="B99" s="50" t="s">
        <v>104</v>
      </c>
      <c r="C99" s="51"/>
      <c r="D99" s="53">
        <f>0.149*28</f>
        <v>4.1719999999999997</v>
      </c>
      <c r="E99" s="123" t="s">
        <v>132</v>
      </c>
      <c r="F99" s="123"/>
      <c r="G99" s="123"/>
      <c r="H99" s="123"/>
      <c r="I99" s="60"/>
      <c r="J99" s="60"/>
      <c r="K99" s="123"/>
      <c r="L99" s="72"/>
    </row>
    <row r="100" spans="1:240" ht="13.5">
      <c r="B100" s="50" t="s">
        <v>105</v>
      </c>
      <c r="C100" s="51"/>
      <c r="D100" s="54">
        <f>D99/14.21*100</f>
        <v>29.359605911330043</v>
      </c>
      <c r="E100" s="123" t="s">
        <v>44</v>
      </c>
      <c r="F100" s="123"/>
      <c r="G100" s="123"/>
      <c r="H100" s="123"/>
      <c r="I100" s="60"/>
      <c r="J100" s="60"/>
      <c r="K100" s="123"/>
      <c r="L100" s="72"/>
    </row>
    <row r="101" spans="1:240" ht="13.5">
      <c r="B101" s="50" t="s">
        <v>213</v>
      </c>
      <c r="C101" s="49"/>
      <c r="D101" s="55">
        <v>5550</v>
      </c>
      <c r="E101" s="123" t="s">
        <v>334</v>
      </c>
      <c r="F101" s="123"/>
      <c r="G101" s="123"/>
      <c r="H101" s="123"/>
      <c r="I101" s="60"/>
      <c r="J101" s="60"/>
      <c r="K101" s="123"/>
      <c r="L101" s="72"/>
    </row>
    <row r="102" spans="1:240" s="56" customFormat="1">
      <c r="D102" s="57"/>
      <c r="E102" s="58"/>
      <c r="F102" s="59"/>
      <c r="G102" s="59"/>
      <c r="H102" s="60"/>
      <c r="I102" s="60"/>
      <c r="J102" s="60"/>
      <c r="S102" s="17"/>
      <c r="W102" s="17"/>
      <c r="X102" s="17"/>
    </row>
    <row r="103" spans="1:240" s="31" customFormat="1" ht="25.5">
      <c r="B103" s="202" t="str">
        <f>B$40</f>
        <v>Pozo de</v>
      </c>
      <c r="C103" s="202" t="str">
        <f>C$40</f>
        <v>Pozo a</v>
      </c>
      <c r="D103" s="202" t="s">
        <v>130</v>
      </c>
      <c r="E103" s="202" t="s">
        <v>208</v>
      </c>
      <c r="F103" s="202" t="str">
        <f>I40</f>
        <v>Ancho zanja
Bd (m)</v>
      </c>
      <c r="G103" s="142" t="s">
        <v>212</v>
      </c>
      <c r="H103" s="143" t="s">
        <v>46</v>
      </c>
      <c r="I103" s="202" t="s">
        <v>226</v>
      </c>
      <c r="J103" s="204" t="s">
        <v>47</v>
      </c>
      <c r="K103" s="202" t="s">
        <v>227</v>
      </c>
      <c r="L103" s="144" t="s">
        <v>228</v>
      </c>
      <c r="N103" s="17" t="s">
        <v>50</v>
      </c>
      <c r="O103" s="17" t="s">
        <v>51</v>
      </c>
      <c r="P103" s="61"/>
      <c r="Q103" s="61"/>
      <c r="R103" s="61"/>
      <c r="S103" s="61"/>
      <c r="T103" s="61"/>
      <c r="U103" s="61"/>
      <c r="V103" s="17"/>
      <c r="W103" s="17"/>
      <c r="X103" s="61"/>
      <c r="Y103" s="61"/>
    </row>
    <row r="104" spans="1:240" s="74" customFormat="1">
      <c r="B104" s="140" t="str">
        <f t="shared" ref="B104:D105" si="10">+B65</f>
        <v>CR-15</v>
      </c>
      <c r="C104" s="140" t="str">
        <f t="shared" si="10"/>
        <v>CS-06</v>
      </c>
      <c r="D104" s="135">
        <f t="shared" si="10"/>
        <v>3</v>
      </c>
      <c r="E104" s="135">
        <f>+F65</f>
        <v>0.2732</v>
      </c>
      <c r="F104" s="135">
        <f>+H65</f>
        <v>1</v>
      </c>
      <c r="G104" s="135">
        <f>K41+L65</f>
        <v>43.088889328339356</v>
      </c>
      <c r="H104" s="132">
        <v>0.1</v>
      </c>
      <c r="I104" s="156">
        <v>11000</v>
      </c>
      <c r="J104" s="52">
        <v>0.93459999999999999</v>
      </c>
      <c r="K104" s="140">
        <f t="shared" ref="K104:K105" si="11">I104*J104</f>
        <v>10280.6</v>
      </c>
      <c r="L104" s="135">
        <f>(($D$96*H104*G104)/(IF(E104&lt;=0.5,$D$98,$D$100)+(0.061*K104)))*100</f>
        <v>0.94096382000924828</v>
      </c>
      <c r="M104" s="81"/>
      <c r="N104" s="81">
        <f t="shared" ref="N104:N105" si="12">$D$101/I104</f>
        <v>0.50454545454545452</v>
      </c>
      <c r="O104" s="81">
        <f t="shared" ref="O104:O105" si="13">F104/E104</f>
        <v>3.6603221083455346</v>
      </c>
      <c r="P104" s="82"/>
      <c r="Q104" s="82"/>
      <c r="R104" s="83"/>
      <c r="S104" s="82"/>
      <c r="T104" s="83"/>
      <c r="U104" s="83"/>
      <c r="V104" s="83"/>
      <c r="W104" s="83"/>
      <c r="X104" s="84"/>
      <c r="Y104" s="84"/>
    </row>
    <row r="105" spans="1:240" s="74" customFormat="1">
      <c r="B105" s="140" t="str">
        <f t="shared" si="10"/>
        <v>CS-06</v>
      </c>
      <c r="C105" s="140" t="str">
        <f t="shared" si="10"/>
        <v>PA-04</v>
      </c>
      <c r="D105" s="135">
        <f t="shared" si="10"/>
        <v>11.1</v>
      </c>
      <c r="E105" s="135">
        <f>+F66</f>
        <v>0.2732</v>
      </c>
      <c r="F105" s="135">
        <f>+H66</f>
        <v>1</v>
      </c>
      <c r="G105" s="135">
        <f>K42+L66</f>
        <v>43.088889328339356</v>
      </c>
      <c r="H105" s="132">
        <v>0.1</v>
      </c>
      <c r="I105" s="156">
        <v>11000</v>
      </c>
      <c r="J105" s="52">
        <v>0.93459999999999999</v>
      </c>
      <c r="K105" s="140">
        <f t="shared" si="11"/>
        <v>10280.6</v>
      </c>
      <c r="L105" s="135">
        <f t="shared" ref="L105" si="14">(($D$96*H105*G105)/(IF(E105&lt;=0.5,$D$98,$D$100)+(0.061*K105)))*100</f>
        <v>0.94096382000924828</v>
      </c>
      <c r="M105" s="81"/>
      <c r="N105" s="81">
        <f t="shared" si="12"/>
        <v>0.50454545454545452</v>
      </c>
      <c r="O105" s="81">
        <f t="shared" si="13"/>
        <v>3.6603221083455346</v>
      </c>
      <c r="P105" s="82"/>
      <c r="Q105" s="82"/>
      <c r="R105" s="83"/>
      <c r="S105" s="82"/>
      <c r="T105" s="83"/>
      <c r="U105" s="83"/>
      <c r="V105" s="83"/>
      <c r="W105" s="83"/>
      <c r="X105" s="84"/>
      <c r="Y105" s="84"/>
    </row>
    <row r="106" spans="1:240" s="74" customFormat="1" ht="11.25">
      <c r="N106" s="81"/>
      <c r="O106" s="81"/>
      <c r="P106" s="82"/>
      <c r="Q106" s="82"/>
      <c r="R106" s="83"/>
      <c r="S106" s="82"/>
      <c r="T106" s="83"/>
      <c r="U106" s="83"/>
      <c r="V106" s="83"/>
      <c r="W106" s="83"/>
      <c r="X106" s="84"/>
      <c r="Y106" s="84"/>
    </row>
    <row r="107" spans="1:240" ht="37.5" customHeight="1">
      <c r="A107" s="288" t="s">
        <v>106</v>
      </c>
      <c r="B107" s="288"/>
      <c r="C107" s="288"/>
      <c r="D107" s="288"/>
      <c r="E107" s="288"/>
      <c r="F107" s="288"/>
      <c r="G107" s="288"/>
      <c r="H107" s="288"/>
      <c r="I107" s="288"/>
      <c r="J107" s="288"/>
      <c r="K107" s="288"/>
      <c r="L107" s="288"/>
      <c r="M107" s="288"/>
      <c r="V107" s="83"/>
      <c r="W107" s="83"/>
    </row>
    <row r="108" spans="1:240">
      <c r="N108" s="198" t="s">
        <v>50</v>
      </c>
      <c r="O108" s="198" t="s">
        <v>47</v>
      </c>
      <c r="Q108" s="235" t="s">
        <v>50</v>
      </c>
      <c r="R108" s="235" t="s">
        <v>47</v>
      </c>
      <c r="T108" s="235" t="s">
        <v>51</v>
      </c>
      <c r="U108" s="235" t="s">
        <v>47</v>
      </c>
      <c r="V108" s="83"/>
      <c r="W108" s="83"/>
    </row>
    <row r="109" spans="1:240">
      <c r="A109" s="19" t="s">
        <v>60</v>
      </c>
      <c r="N109" s="235">
        <v>0.4</v>
      </c>
      <c r="O109" s="235">
        <v>0.85</v>
      </c>
      <c r="Q109" s="235">
        <f>+N109</f>
        <v>0.4</v>
      </c>
      <c r="R109" s="235">
        <v>0.93</v>
      </c>
      <c r="T109" s="235">
        <v>3</v>
      </c>
      <c r="U109" s="235">
        <f>+O110</f>
        <v>0.89500000000000002</v>
      </c>
      <c r="V109" s="83"/>
      <c r="W109" s="83"/>
    </row>
    <row r="110" spans="1:240">
      <c r="N110" s="236">
        <v>0.5</v>
      </c>
      <c r="O110" s="237">
        <v>0.89500000000000002</v>
      </c>
      <c r="Q110" s="236">
        <f>+N110</f>
        <v>0.5</v>
      </c>
      <c r="R110" s="237">
        <v>0.95499999999999996</v>
      </c>
      <c r="T110" s="236">
        <v>3.66</v>
      </c>
      <c r="U110" s="238">
        <v>0.93459999999999999</v>
      </c>
      <c r="V110" s="83"/>
      <c r="W110" s="83"/>
    </row>
    <row r="111" spans="1:240">
      <c r="A111" s="298" t="s">
        <v>115</v>
      </c>
      <c r="B111" s="298"/>
      <c r="C111" s="298"/>
      <c r="D111" s="298"/>
      <c r="E111" s="298"/>
      <c r="F111" s="298"/>
      <c r="G111" s="298"/>
      <c r="H111" s="298"/>
      <c r="I111" s="298"/>
      <c r="J111" s="298"/>
      <c r="K111" s="298"/>
      <c r="L111" s="298"/>
      <c r="M111" s="298"/>
      <c r="N111" s="235">
        <v>0.6</v>
      </c>
      <c r="O111" s="235">
        <v>0.94</v>
      </c>
      <c r="Q111" s="235">
        <f>+N111</f>
        <v>0.6</v>
      </c>
      <c r="R111" s="235">
        <v>0.98</v>
      </c>
      <c r="T111" s="235">
        <v>4</v>
      </c>
      <c r="U111" s="235">
        <f>+R110</f>
        <v>0.95499999999999996</v>
      </c>
    </row>
    <row r="112" spans="1:240">
      <c r="A112" s="298"/>
      <c r="B112" s="298"/>
      <c r="C112" s="298"/>
      <c r="D112" s="298"/>
      <c r="E112" s="298"/>
      <c r="F112" s="298"/>
      <c r="G112" s="298"/>
      <c r="H112" s="298"/>
      <c r="I112" s="298"/>
      <c r="J112" s="298"/>
      <c r="K112" s="298"/>
      <c r="L112" s="298"/>
      <c r="M112" s="298"/>
      <c r="N112" s="301" t="s">
        <v>327</v>
      </c>
      <c r="O112" s="301"/>
      <c r="Q112" s="293" t="s">
        <v>328</v>
      </c>
      <c r="R112" s="294"/>
      <c r="T112" s="293"/>
      <c r="U112" s="294"/>
    </row>
    <row r="118" spans="3:4">
      <c r="C118" s="17" t="s">
        <v>2</v>
      </c>
    </row>
    <row r="119" spans="3:4">
      <c r="C119" s="62" t="s">
        <v>61</v>
      </c>
      <c r="D119" s="17" t="s">
        <v>216</v>
      </c>
    </row>
    <row r="120" spans="3:4">
      <c r="C120" s="62"/>
      <c r="D120" s="17" t="s">
        <v>214</v>
      </c>
    </row>
    <row r="121" spans="3:4">
      <c r="C121" s="62"/>
      <c r="D121" s="17" t="s">
        <v>215</v>
      </c>
    </row>
    <row r="122" spans="3:4">
      <c r="C122" s="62" t="s">
        <v>62</v>
      </c>
      <c r="D122" s="17" t="s">
        <v>217</v>
      </c>
    </row>
    <row r="123" spans="3:4">
      <c r="C123" s="62"/>
      <c r="D123" s="17" t="s">
        <v>219</v>
      </c>
    </row>
    <row r="124" spans="3:4">
      <c r="C124" s="62"/>
      <c r="D124" s="17" t="s">
        <v>218</v>
      </c>
    </row>
    <row r="125" spans="3:4">
      <c r="C125" s="62" t="s">
        <v>63</v>
      </c>
      <c r="D125" s="17" t="s">
        <v>220</v>
      </c>
    </row>
    <row r="126" spans="3:4">
      <c r="C126" s="62" t="s">
        <v>64</v>
      </c>
      <c r="D126" s="17" t="s">
        <v>65</v>
      </c>
    </row>
    <row r="127" spans="3:4" ht="17.25" customHeight="1">
      <c r="C127" s="62"/>
      <c r="D127" s="17" t="s">
        <v>107</v>
      </c>
    </row>
    <row r="128" spans="3:4">
      <c r="C128" s="62" t="s">
        <v>66</v>
      </c>
      <c r="D128" s="17" t="s">
        <v>221</v>
      </c>
    </row>
    <row r="129" spans="1:24">
      <c r="C129" s="62"/>
      <c r="D129" s="56"/>
    </row>
    <row r="130" spans="1:24" ht="13.5">
      <c r="D130" s="48" t="s">
        <v>108</v>
      </c>
      <c r="E130" s="49"/>
      <c r="F130" s="53">
        <f>D98/8</f>
        <v>7.4709711470795206</v>
      </c>
      <c r="G130" s="123" t="str">
        <f>E98</f>
        <v>Para tuberías PVC Novafort</v>
      </c>
      <c r="H130" s="72"/>
      <c r="I130" s="60"/>
      <c r="J130" s="72"/>
    </row>
    <row r="131" spans="1:24" ht="13.5">
      <c r="D131" s="48" t="s">
        <v>108</v>
      </c>
      <c r="E131" s="49"/>
      <c r="F131" s="53">
        <f>D100/8</f>
        <v>3.6699507389162553</v>
      </c>
      <c r="G131" s="123" t="s">
        <v>44</v>
      </c>
      <c r="H131" s="72"/>
      <c r="I131" s="60"/>
      <c r="J131" s="72"/>
    </row>
    <row r="132" spans="1:24">
      <c r="D132" s="48" t="s">
        <v>67</v>
      </c>
      <c r="E132" s="49"/>
      <c r="F132" s="53">
        <v>5</v>
      </c>
      <c r="G132" s="72" t="s">
        <v>68</v>
      </c>
      <c r="H132" s="72"/>
      <c r="I132" s="72"/>
      <c r="J132" s="72"/>
    </row>
    <row r="134" spans="1:24" s="31" customFormat="1" ht="13.5">
      <c r="B134" s="274" t="str">
        <f>B$40</f>
        <v>Pozo de</v>
      </c>
      <c r="C134" s="274" t="str">
        <f>C$40</f>
        <v>Pozo a</v>
      </c>
      <c r="D134" s="274" t="s">
        <v>130</v>
      </c>
      <c r="E134" s="274" t="s">
        <v>208</v>
      </c>
      <c r="F134" s="274" t="s">
        <v>207</v>
      </c>
      <c r="G134" s="202" t="s">
        <v>9</v>
      </c>
      <c r="H134" s="202" t="s">
        <v>45</v>
      </c>
      <c r="I134" s="274" t="s">
        <v>69</v>
      </c>
      <c r="J134" s="274" t="s">
        <v>70</v>
      </c>
      <c r="K134" s="274" t="s">
        <v>71</v>
      </c>
      <c r="L134" s="202" t="s">
        <v>229</v>
      </c>
      <c r="W134" s="17"/>
      <c r="X134" s="17"/>
    </row>
    <row r="135" spans="1:24">
      <c r="B135" s="275"/>
      <c r="C135" s="275"/>
      <c r="D135" s="275"/>
      <c r="E135" s="287"/>
      <c r="F135" s="287"/>
      <c r="G135" s="146" t="s">
        <v>16</v>
      </c>
      <c r="H135" s="147" t="s">
        <v>49</v>
      </c>
      <c r="I135" s="275"/>
      <c r="J135" s="275"/>
      <c r="K135" s="275"/>
      <c r="L135" s="203" t="s">
        <v>72</v>
      </c>
    </row>
    <row r="136" spans="1:24" s="74" customFormat="1">
      <c r="B136" s="140" t="str">
        <f t="shared" ref="B136:E137" si="15">+B104</f>
        <v>CR-15</v>
      </c>
      <c r="C136" s="140" t="str">
        <f t="shared" si="15"/>
        <v>CS-06</v>
      </c>
      <c r="D136" s="135">
        <f t="shared" si="15"/>
        <v>3</v>
      </c>
      <c r="E136" s="135">
        <f t="shared" si="15"/>
        <v>0.2732</v>
      </c>
      <c r="F136" s="135">
        <f>+G65</f>
        <v>0.81</v>
      </c>
      <c r="G136" s="135">
        <f>+F104</f>
        <v>1</v>
      </c>
      <c r="H136" s="135">
        <f>+G104</f>
        <v>43.088889328339356</v>
      </c>
      <c r="I136" s="28">
        <f t="shared" ref="I136:I137" si="16">IF(F136/E136&gt;=2,2.5,3)</f>
        <v>2.5</v>
      </c>
      <c r="J136" s="28">
        <f t="shared" ref="J136:J137" si="17">IF($F$132&lt;=F136,1-0.33*($F$132/F136),1)</f>
        <v>1</v>
      </c>
      <c r="K136" s="135">
        <f t="shared" ref="K136:K137" si="18">1/(1+4*EXP(-0.2133*F136))</f>
        <v>0.2290785797996916</v>
      </c>
      <c r="L136" s="135">
        <f>1/I136*SQRT(32*J136*K136*K104*IF(E136&lt;=0.5,$F$130,$F$131))</f>
        <v>300.14076282472291</v>
      </c>
      <c r="W136" s="76"/>
      <c r="X136" s="76"/>
    </row>
    <row r="137" spans="1:24" s="74" customFormat="1">
      <c r="B137" s="140" t="str">
        <f t="shared" si="15"/>
        <v>CS-06</v>
      </c>
      <c r="C137" s="140" t="str">
        <f t="shared" si="15"/>
        <v>PA-04</v>
      </c>
      <c r="D137" s="135">
        <f t="shared" si="15"/>
        <v>11.1</v>
      </c>
      <c r="E137" s="135">
        <f t="shared" si="15"/>
        <v>0.2732</v>
      </c>
      <c r="F137" s="135">
        <f>+G66</f>
        <v>0.81</v>
      </c>
      <c r="G137" s="135">
        <f>+F105</f>
        <v>1</v>
      </c>
      <c r="H137" s="135">
        <f>+G105</f>
        <v>43.088889328339356</v>
      </c>
      <c r="I137" s="28">
        <f t="shared" si="16"/>
        <v>2.5</v>
      </c>
      <c r="J137" s="28">
        <f t="shared" si="17"/>
        <v>1</v>
      </c>
      <c r="K137" s="135">
        <f t="shared" si="18"/>
        <v>0.2290785797996916</v>
      </c>
      <c r="L137" s="135">
        <f>1/I137*SQRT(32*J137*K137*K105*IF(E137&lt;=0.5,$F$130,$F$131))</f>
        <v>300.14076282472291</v>
      </c>
      <c r="W137" s="76"/>
      <c r="X137" s="76"/>
    </row>
    <row r="138" spans="1:24" s="74" customFormat="1"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</row>
    <row r="139" spans="1:24">
      <c r="A139" s="17" t="s">
        <v>73</v>
      </c>
      <c r="H139" s="63"/>
    </row>
    <row r="140" spans="1:24">
      <c r="H140" s="63"/>
    </row>
    <row r="141" spans="1:24">
      <c r="H141" s="63"/>
    </row>
    <row r="142" spans="1:24">
      <c r="H142" s="63"/>
    </row>
    <row r="143" spans="1:24">
      <c r="H143" s="63"/>
    </row>
    <row r="144" spans="1:24">
      <c r="H144" s="63"/>
    </row>
    <row r="146" spans="1:24" s="31" customFormat="1" ht="27" customHeight="1">
      <c r="C146" s="202" t="str">
        <f>B$40</f>
        <v>Pozo de</v>
      </c>
      <c r="D146" s="202" t="str">
        <f>C$40</f>
        <v>Pozo a</v>
      </c>
      <c r="E146" s="202" t="s">
        <v>222</v>
      </c>
      <c r="F146" s="204" t="s">
        <v>204</v>
      </c>
      <c r="G146" s="202" t="s">
        <v>207</v>
      </c>
      <c r="H146" s="202" t="s">
        <v>206</v>
      </c>
      <c r="I146" s="202" t="s">
        <v>211</v>
      </c>
      <c r="J146" s="202" t="s">
        <v>230</v>
      </c>
      <c r="K146" s="202" t="s">
        <v>231</v>
      </c>
      <c r="W146" s="17"/>
      <c r="X146" s="17"/>
    </row>
    <row r="147" spans="1:24" s="74" customFormat="1">
      <c r="C147" s="135" t="str">
        <f t="shared" ref="C147:G148" si="19">+B136</f>
        <v>CR-15</v>
      </c>
      <c r="D147" s="135" t="str">
        <f t="shared" si="19"/>
        <v>CS-06</v>
      </c>
      <c r="E147" s="135">
        <f t="shared" si="19"/>
        <v>3</v>
      </c>
      <c r="F147" s="135">
        <f t="shared" si="19"/>
        <v>0.2732</v>
      </c>
      <c r="G147" s="135">
        <f t="shared" si="19"/>
        <v>0.81</v>
      </c>
      <c r="H147" s="135">
        <f>+K41</f>
        <v>4.42584</v>
      </c>
      <c r="I147" s="135">
        <f>+L65</f>
        <v>38.663049328339355</v>
      </c>
      <c r="J147" s="135">
        <f>10*IF(G147&gt;$F$132,G147-$F$132,0)+(J136*H147/F147)+I147/F147</f>
        <v>157.7192142325745</v>
      </c>
      <c r="K147" s="135" t="str">
        <f>IF(J147&lt;L136,"OK","NO CUMPLE")</f>
        <v>OK</v>
      </c>
    </row>
    <row r="148" spans="1:24" s="74" customFormat="1">
      <c r="C148" s="135" t="str">
        <f t="shared" si="19"/>
        <v>CS-06</v>
      </c>
      <c r="D148" s="135" t="str">
        <f t="shared" si="19"/>
        <v>PA-04</v>
      </c>
      <c r="E148" s="135">
        <f t="shared" si="19"/>
        <v>11.1</v>
      </c>
      <c r="F148" s="135">
        <f t="shared" si="19"/>
        <v>0.2732</v>
      </c>
      <c r="G148" s="135">
        <f t="shared" si="19"/>
        <v>0.81</v>
      </c>
      <c r="H148" s="135">
        <f>+K42</f>
        <v>4.42584</v>
      </c>
      <c r="I148" s="135">
        <f>+L66</f>
        <v>38.663049328339355</v>
      </c>
      <c r="J148" s="135">
        <f>10*IF(G148&gt;$F$132,G148-$F$132,0)+(J137*H148/F148)+I148/F148</f>
        <v>157.7192142325745</v>
      </c>
      <c r="K148" s="135" t="str">
        <f>IF(J148&lt;L137,"OK","NO CUMPLE")</f>
        <v>OK</v>
      </c>
    </row>
    <row r="149" spans="1:24" s="74" customFormat="1" ht="11.25"/>
    <row r="150" spans="1:24">
      <c r="A150" s="64" t="s">
        <v>74</v>
      </c>
      <c r="B150" s="65"/>
      <c r="C150" s="65"/>
      <c r="D150" s="65"/>
      <c r="E150" s="65"/>
      <c r="F150" s="65"/>
      <c r="G150" s="65"/>
    </row>
    <row r="151" spans="1:24">
      <c r="A151" s="65"/>
      <c r="B151" s="65"/>
      <c r="C151" s="65"/>
      <c r="D151" s="65"/>
      <c r="E151" s="65"/>
      <c r="F151" s="65"/>
      <c r="G151" s="65"/>
    </row>
    <row r="152" spans="1:24">
      <c r="A152" s="65" t="s">
        <v>109</v>
      </c>
      <c r="B152" s="65"/>
      <c r="C152" s="65"/>
      <c r="D152" s="65"/>
      <c r="E152" s="65"/>
      <c r="F152" s="65"/>
      <c r="G152" s="65"/>
    </row>
    <row r="153" spans="1:24">
      <c r="A153" s="65"/>
      <c r="B153" s="65"/>
      <c r="C153" s="65"/>
      <c r="D153" s="65"/>
      <c r="E153" s="65"/>
      <c r="F153" s="65"/>
      <c r="G153" s="65"/>
    </row>
    <row r="154" spans="1:24">
      <c r="A154" s="1"/>
      <c r="B154" s="65"/>
      <c r="C154" s="65"/>
      <c r="D154" s="65"/>
      <c r="E154" s="65"/>
      <c r="F154" s="65"/>
      <c r="G154" s="65"/>
    </row>
    <row r="155" spans="1:24">
      <c r="A155" s="65"/>
      <c r="B155" s="65"/>
      <c r="C155" s="65"/>
      <c r="D155" s="65"/>
      <c r="E155" s="65"/>
      <c r="F155" s="65"/>
      <c r="G155" s="65"/>
    </row>
    <row r="156" spans="1:24">
      <c r="A156" s="65"/>
      <c r="B156" s="65"/>
      <c r="C156" s="65"/>
      <c r="D156" s="65"/>
      <c r="E156" s="65"/>
      <c r="F156" s="65"/>
      <c r="G156" s="65"/>
    </row>
    <row r="157" spans="1:24">
      <c r="A157" s="65" t="s">
        <v>2</v>
      </c>
      <c r="B157" s="65"/>
      <c r="C157" s="65"/>
      <c r="D157" s="65"/>
      <c r="E157" s="65"/>
      <c r="F157" s="65"/>
      <c r="G157" s="65"/>
    </row>
    <row r="158" spans="1:24" ht="13.5">
      <c r="A158" s="65"/>
      <c r="B158" s="66" t="s">
        <v>110</v>
      </c>
      <c r="C158" s="67" t="s">
        <v>75</v>
      </c>
      <c r="D158" s="67"/>
      <c r="E158" s="65"/>
      <c r="F158" s="65"/>
      <c r="G158" s="65"/>
    </row>
    <row r="159" spans="1:24">
      <c r="A159" s="65"/>
      <c r="B159" s="66" t="s">
        <v>26</v>
      </c>
      <c r="C159" s="67" t="s">
        <v>76</v>
      </c>
      <c r="D159" s="65"/>
      <c r="E159" s="65"/>
      <c r="F159" s="65"/>
      <c r="G159" s="65"/>
    </row>
    <row r="160" spans="1:24" ht="13.5">
      <c r="A160" s="65"/>
      <c r="B160" s="66" t="s">
        <v>77</v>
      </c>
      <c r="C160" s="65" t="s">
        <v>111</v>
      </c>
      <c r="D160" s="65"/>
      <c r="E160" s="65"/>
      <c r="F160" s="65"/>
      <c r="G160" s="65"/>
    </row>
    <row r="161" spans="1:22">
      <c r="A161" s="65"/>
      <c r="B161" s="65"/>
      <c r="C161" s="65"/>
      <c r="D161" s="65"/>
      <c r="E161" s="65"/>
      <c r="F161" s="65"/>
      <c r="G161" s="65"/>
    </row>
    <row r="162" spans="1:22" ht="14.25">
      <c r="A162" s="65" t="s">
        <v>112</v>
      </c>
      <c r="B162" s="65"/>
      <c r="C162" s="65"/>
      <c r="D162" s="65"/>
      <c r="E162" s="65"/>
      <c r="F162" s="65"/>
      <c r="G162" s="65"/>
    </row>
    <row r="163" spans="1:22">
      <c r="B163" s="65"/>
      <c r="C163" s="65"/>
      <c r="D163" s="65"/>
      <c r="E163" s="65"/>
      <c r="F163" s="65"/>
      <c r="G163" s="65"/>
      <c r="H163" s="65"/>
    </row>
    <row r="164" spans="1:22" ht="25.5">
      <c r="D164" s="149" t="str">
        <f>B40</f>
        <v>Pozo de</v>
      </c>
      <c r="E164" s="149" t="str">
        <f>C40</f>
        <v>Pozo a</v>
      </c>
      <c r="F164" s="202" t="str">
        <f>E40</f>
        <v>Diám Nominal (in)</v>
      </c>
      <c r="G164" s="202" t="s">
        <v>208</v>
      </c>
      <c r="H164" s="149" t="s">
        <v>212</v>
      </c>
      <c r="I164" s="150" t="s">
        <v>232</v>
      </c>
      <c r="J164" s="150" t="s">
        <v>233</v>
      </c>
      <c r="O164" s="199"/>
      <c r="P164" s="199"/>
      <c r="Q164" s="199"/>
      <c r="R164" s="199"/>
      <c r="S164" s="199"/>
      <c r="T164" s="199"/>
      <c r="U164" s="199"/>
      <c r="V164" s="199"/>
    </row>
    <row r="165" spans="1:22" s="74" customFormat="1">
      <c r="D165" s="151" t="str">
        <f>+C147</f>
        <v>CR-15</v>
      </c>
      <c r="E165" s="151" t="str">
        <f>+D147</f>
        <v>CS-06</v>
      </c>
      <c r="F165" s="151">
        <f>+E41</f>
        <v>10</v>
      </c>
      <c r="G165" s="152">
        <f>+F147</f>
        <v>0.2732</v>
      </c>
      <c r="H165" s="152">
        <f>+I147+H147</f>
        <v>43.088889328339356</v>
      </c>
      <c r="I165" s="152">
        <f t="shared" ref="I165:I166" si="20">2*H165/(PI()*G165)</f>
        <v>100.40717026273539</v>
      </c>
      <c r="J165" s="152" t="str">
        <f t="shared" ref="J165:J166" si="21">IF(I165&lt;67500,"OK","Falta")</f>
        <v>OK</v>
      </c>
    </row>
    <row r="166" spans="1:22" s="74" customFormat="1">
      <c r="D166" s="151" t="str">
        <f>+C148</f>
        <v>CS-06</v>
      </c>
      <c r="E166" s="151" t="str">
        <f>+D148</f>
        <v>PA-04</v>
      </c>
      <c r="F166" s="151">
        <f>+E42</f>
        <v>10</v>
      </c>
      <c r="G166" s="152">
        <f>+F148</f>
        <v>0.2732</v>
      </c>
      <c r="H166" s="152">
        <f>+I148+H148</f>
        <v>43.088889328339356</v>
      </c>
      <c r="I166" s="152">
        <f t="shared" si="20"/>
        <v>100.40717026273539</v>
      </c>
      <c r="J166" s="152" t="str">
        <f t="shared" si="21"/>
        <v>OK</v>
      </c>
    </row>
    <row r="167" spans="1:22" s="74" customFormat="1">
      <c r="D167" s="218"/>
      <c r="E167" s="218"/>
      <c r="F167" s="218"/>
      <c r="G167" s="219"/>
      <c r="H167" s="219"/>
      <c r="I167" s="219"/>
      <c r="J167" s="219"/>
    </row>
    <row r="168" spans="1:22" s="74" customFormat="1">
      <c r="A168" s="64" t="s">
        <v>240</v>
      </c>
    </row>
    <row r="169" spans="1:22" s="74" customFormat="1">
      <c r="A169" s="65"/>
    </row>
    <row r="170" spans="1:22" s="74" customFormat="1" ht="35.25" customHeight="1">
      <c r="A170" s="292" t="s">
        <v>379</v>
      </c>
      <c r="B170" s="292"/>
      <c r="C170" s="292"/>
      <c r="D170" s="292"/>
      <c r="E170" s="292"/>
      <c r="F170" s="292"/>
      <c r="G170" s="292"/>
      <c r="H170" s="292"/>
      <c r="I170" s="292"/>
      <c r="J170" s="292"/>
      <c r="K170" s="292"/>
      <c r="L170" s="292"/>
      <c r="M170" s="292"/>
    </row>
    <row r="171" spans="1:22" s="74" customFormat="1">
      <c r="A171" s="65"/>
    </row>
    <row r="172" spans="1:22" s="74" customFormat="1" ht="11.25" customHeight="1">
      <c r="D172" s="318" t="s">
        <v>128</v>
      </c>
      <c r="E172" s="318" t="s">
        <v>129</v>
      </c>
      <c r="F172" s="286" t="s">
        <v>134</v>
      </c>
      <c r="G172" s="279" t="s">
        <v>191</v>
      </c>
      <c r="H172" s="299" t="s">
        <v>135</v>
      </c>
      <c r="I172" s="286" t="s">
        <v>131</v>
      </c>
    </row>
    <row r="173" spans="1:22" s="74" customFormat="1" ht="11.25" customHeight="1">
      <c r="D173" s="319"/>
      <c r="E173" s="319"/>
      <c r="F173" s="287"/>
      <c r="G173" s="279"/>
      <c r="H173" s="300"/>
      <c r="I173" s="287"/>
    </row>
    <row r="174" spans="1:22" s="74" customFormat="1">
      <c r="D174" s="90" t="str">
        <f>+B65</f>
        <v>CR-15</v>
      </c>
      <c r="E174" s="90" t="str">
        <f>+C65</f>
        <v>CS-06</v>
      </c>
      <c r="F174" s="21">
        <f>+G65</f>
        <v>0.81</v>
      </c>
      <c r="G174" s="21">
        <f>+P41</f>
        <v>1.1832000000000003</v>
      </c>
      <c r="H174" s="153" t="str">
        <f t="shared" ref="H174:H175" si="22">+IF(G174&gt;0.5,"NO","SI")</f>
        <v>NO</v>
      </c>
      <c r="I174" s="198" t="s">
        <v>380</v>
      </c>
    </row>
    <row r="175" spans="1:22" s="74" customFormat="1">
      <c r="D175" s="90" t="str">
        <f>+B66</f>
        <v>CS-06</v>
      </c>
      <c r="E175" s="90" t="str">
        <f>+C66</f>
        <v>PA-04</v>
      </c>
      <c r="F175" s="21">
        <f>+G66</f>
        <v>0.81</v>
      </c>
      <c r="G175" s="21">
        <f>+P42</f>
        <v>1.1832000000000003</v>
      </c>
      <c r="H175" s="153" t="str">
        <f t="shared" si="22"/>
        <v>NO</v>
      </c>
      <c r="I175" s="198" t="s">
        <v>380</v>
      </c>
    </row>
    <row r="177" spans="1:13">
      <c r="A177" s="64" t="s">
        <v>398</v>
      </c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</row>
    <row r="178" spans="1:13">
      <c r="A178" s="65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</row>
    <row r="179" spans="1:13">
      <c r="A179" s="17" t="s">
        <v>392</v>
      </c>
    </row>
    <row r="203" spans="2:13">
      <c r="B203" s="279" t="s">
        <v>128</v>
      </c>
      <c r="C203" s="279" t="s">
        <v>129</v>
      </c>
      <c r="D203" s="317" t="s">
        <v>48</v>
      </c>
      <c r="E203" s="317" t="s">
        <v>16</v>
      </c>
      <c r="F203" s="317" t="s">
        <v>134</v>
      </c>
      <c r="G203" s="279" t="s">
        <v>191</v>
      </c>
      <c r="H203" s="279" t="s">
        <v>393</v>
      </c>
      <c r="I203" s="279" t="s">
        <v>394</v>
      </c>
      <c r="J203" s="279" t="s">
        <v>395</v>
      </c>
      <c r="K203" s="279" t="s">
        <v>396</v>
      </c>
      <c r="L203" s="279" t="s">
        <v>397</v>
      </c>
    </row>
    <row r="204" spans="2:13">
      <c r="B204" s="279"/>
      <c r="C204" s="279"/>
      <c r="D204" s="317"/>
      <c r="E204" s="317"/>
      <c r="F204" s="317"/>
      <c r="G204" s="279"/>
      <c r="H204" s="279"/>
      <c r="I204" s="279"/>
      <c r="J204" s="279"/>
      <c r="K204" s="279"/>
      <c r="L204" s="279"/>
    </row>
    <row r="205" spans="2:13">
      <c r="B205" s="90" t="str">
        <f>+D174</f>
        <v>CR-15</v>
      </c>
      <c r="C205" s="90" t="str">
        <f>+E174</f>
        <v>CS-06</v>
      </c>
      <c r="D205" s="21">
        <f>+G165</f>
        <v>0.2732</v>
      </c>
      <c r="E205" s="21">
        <f>+G136</f>
        <v>1</v>
      </c>
      <c r="F205" s="21">
        <f>+F174</f>
        <v>0.81</v>
      </c>
      <c r="G205" s="21">
        <f>+G174</f>
        <v>1.1832000000000003</v>
      </c>
      <c r="H205" s="21">
        <v>0.1</v>
      </c>
      <c r="I205" s="21">
        <f t="shared" ref="I205:I206" si="23">+D205*0.6</f>
        <v>0.16391999999999998</v>
      </c>
      <c r="J205" s="21">
        <f t="shared" ref="J205:J206" si="24">(0.4*D205)+0.3</f>
        <v>0.40927999999999998</v>
      </c>
      <c r="K205" s="21">
        <f t="shared" ref="K205:K206" si="25">G205-J205-I205-H205-L205</f>
        <v>1.0000000000000342E-2</v>
      </c>
      <c r="L205" s="21">
        <v>0.5</v>
      </c>
    </row>
    <row r="206" spans="2:13">
      <c r="B206" s="90" t="str">
        <f>+D175</f>
        <v>CS-06</v>
      </c>
      <c r="C206" s="90" t="str">
        <f>+E175</f>
        <v>PA-04</v>
      </c>
      <c r="D206" s="21">
        <f>+G166</f>
        <v>0.2732</v>
      </c>
      <c r="E206" s="21">
        <f>+G137</f>
        <v>1</v>
      </c>
      <c r="F206" s="21">
        <f>+F175</f>
        <v>0.81</v>
      </c>
      <c r="G206" s="21">
        <f>+G175</f>
        <v>1.1832000000000003</v>
      </c>
      <c r="H206" s="21">
        <v>0.1</v>
      </c>
      <c r="I206" s="21">
        <f t="shared" si="23"/>
        <v>0.16391999999999998</v>
      </c>
      <c r="J206" s="21">
        <f t="shared" si="24"/>
        <v>0.40927999999999998</v>
      </c>
      <c r="K206" s="21">
        <f t="shared" si="25"/>
        <v>1.0000000000000342E-2</v>
      </c>
      <c r="L206" s="21">
        <v>0.5</v>
      </c>
    </row>
    <row r="208" spans="2:13">
      <c r="C208" s="91"/>
      <c r="D208" s="91"/>
      <c r="E208" s="35"/>
      <c r="F208" s="35"/>
      <c r="J208" s="199"/>
      <c r="K208" s="199"/>
      <c r="L208" s="199"/>
      <c r="M208" s="199"/>
    </row>
    <row r="209" spans="10:13">
      <c r="J209" s="199"/>
      <c r="K209" s="199"/>
      <c r="L209" s="199"/>
      <c r="M209" s="199"/>
    </row>
    <row r="210" spans="10:13">
      <c r="J210" s="199"/>
      <c r="K210" s="199"/>
      <c r="L210" s="199"/>
      <c r="M210" s="199"/>
    </row>
    <row r="211" spans="10:13">
      <c r="J211" s="199"/>
      <c r="K211" s="199"/>
      <c r="L211" s="199"/>
      <c r="M211" s="199"/>
    </row>
    <row r="214" spans="10:13">
      <c r="K214" s="17" t="s">
        <v>136</v>
      </c>
    </row>
  </sheetData>
  <autoFilter ref="A40:M40" xr:uid="{00000000-0001-0000-0400-000000000000}"/>
  <mergeCells count="37">
    <mergeCell ref="A170:M170"/>
    <mergeCell ref="D172:D173"/>
    <mergeCell ref="E172:E173"/>
    <mergeCell ref="F172:F173"/>
    <mergeCell ref="G172:G173"/>
    <mergeCell ref="H172:H173"/>
    <mergeCell ref="I172:I173"/>
    <mergeCell ref="T83:AA83"/>
    <mergeCell ref="A107:M107"/>
    <mergeCell ref="A111:M112"/>
    <mergeCell ref="B134:B135"/>
    <mergeCell ref="C134:C135"/>
    <mergeCell ref="D134:D135"/>
    <mergeCell ref="E134:E135"/>
    <mergeCell ref="F134:F135"/>
    <mergeCell ref="N112:O112"/>
    <mergeCell ref="Q112:R112"/>
    <mergeCell ref="T112:U112"/>
    <mergeCell ref="I134:I135"/>
    <mergeCell ref="J134:J135"/>
    <mergeCell ref="K134:K135"/>
    <mergeCell ref="A2:M2"/>
    <mergeCell ref="A3:M3"/>
    <mergeCell ref="C60:C62"/>
    <mergeCell ref="A70:M71"/>
    <mergeCell ref="S83:S84"/>
    <mergeCell ref="B203:B204"/>
    <mergeCell ref="C203:C204"/>
    <mergeCell ref="D203:D204"/>
    <mergeCell ref="E203:E204"/>
    <mergeCell ref="F203:F204"/>
    <mergeCell ref="L203:L204"/>
    <mergeCell ref="G203:G204"/>
    <mergeCell ref="H203:H204"/>
    <mergeCell ref="I203:I204"/>
    <mergeCell ref="J203:J204"/>
    <mergeCell ref="K203:K204"/>
  </mergeCells>
  <conditionalFormatting sqref="L104:L105">
    <cfRule type="cellIs" dxfId="1" priority="1" stopIfTrue="1" operator="greaterThanOrEqual">
      <formula>5</formula>
    </cfRule>
  </conditionalFormatting>
  <printOptions horizontalCentered="1"/>
  <pageMargins left="0.78740157480314965" right="0.78740157480314965" top="1.1811023622047245" bottom="1.1811023622047245" header="0.78740157480314965" footer="0.78740157480314965"/>
  <pageSetup scale="61" fitToHeight="0" orientation="portrait" r:id="rId1"/>
  <rowBreaks count="2" manualBreakCount="2">
    <brk id="67" max="12" man="1"/>
    <brk id="138" max="12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96935-6D69-48D0-AFDF-0A70E46F0E45}">
  <sheetPr>
    <tabColor theme="6" tint="0.39997558519241921"/>
    <pageSetUpPr fitToPage="1"/>
  </sheetPr>
  <dimension ref="A2:IF213"/>
  <sheetViews>
    <sheetView view="pageBreakPreview" zoomScale="90" zoomScaleNormal="90" zoomScaleSheetLayoutView="90" workbookViewId="0">
      <selection activeCell="A93" sqref="A93"/>
    </sheetView>
  </sheetViews>
  <sheetFormatPr baseColWidth="10" defaultColWidth="11.42578125" defaultRowHeight="12"/>
  <cols>
    <col min="1" max="2" width="9.140625" style="17" customWidth="1"/>
    <col min="3" max="3" width="9.5703125" style="17" customWidth="1"/>
    <col min="4" max="4" width="9.28515625" style="17" customWidth="1"/>
    <col min="5" max="5" width="12.140625" style="17" customWidth="1"/>
    <col min="6" max="6" width="12.42578125" style="17" customWidth="1"/>
    <col min="7" max="7" width="14.140625" style="17" customWidth="1"/>
    <col min="8" max="8" width="12.7109375" style="17" customWidth="1"/>
    <col min="9" max="9" width="10.85546875" style="17" customWidth="1"/>
    <col min="10" max="10" width="11" style="17" customWidth="1"/>
    <col min="11" max="11" width="10.28515625" style="17" customWidth="1"/>
    <col min="12" max="12" width="12.5703125" style="17" customWidth="1"/>
    <col min="13" max="13" width="12.85546875" style="17" customWidth="1"/>
    <col min="14" max="14" width="11.42578125" style="17"/>
    <col min="15" max="16" width="11.85546875" style="17" bestFit="1" customWidth="1"/>
    <col min="17" max="17" width="11.85546875" style="17" customWidth="1"/>
    <col min="18" max="18" width="11.85546875" style="17" bestFit="1" customWidth="1"/>
    <col min="19" max="19" width="16.28515625" style="17" bestFit="1" customWidth="1"/>
    <col min="20" max="20" width="11.85546875" style="17" bestFit="1" customWidth="1"/>
    <col min="21" max="21" width="15.140625" style="17" customWidth="1"/>
    <col min="22" max="22" width="11.5703125" style="17" bestFit="1" customWidth="1"/>
    <col min="23" max="23" width="15" style="17" customWidth="1"/>
    <col min="24" max="24" width="11.5703125" style="17" bestFit="1" customWidth="1"/>
    <col min="25" max="16384" width="11.42578125" style="17"/>
  </cols>
  <sheetData>
    <row r="2" spans="1:13" ht="12.75" customHeight="1">
      <c r="A2" s="302" t="s">
        <v>236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3" spans="1:13" s="56" customFormat="1" ht="12.75" customHeight="1">
      <c r="A3" s="303" t="s">
        <v>346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</row>
    <row r="5" spans="1:13">
      <c r="A5" s="19" t="s">
        <v>78</v>
      </c>
    </row>
    <row r="7" spans="1:13">
      <c r="A7" s="19" t="s">
        <v>0</v>
      </c>
    </row>
    <row r="8" spans="1:13">
      <c r="A8" s="19"/>
    </row>
    <row r="9" spans="1:13">
      <c r="A9" s="19" t="s">
        <v>1</v>
      </c>
    </row>
    <row r="10" spans="1:13" ht="12.75" customHeight="1"/>
    <row r="11" spans="1:13" ht="12.75" customHeight="1"/>
    <row r="12" spans="1:13" ht="12.75" customHeight="1"/>
    <row r="13" spans="1:13">
      <c r="E13" s="20"/>
      <c r="F13" s="20"/>
      <c r="G13" s="18"/>
    </row>
    <row r="14" spans="1:13">
      <c r="D14" s="17" t="s">
        <v>2</v>
      </c>
    </row>
    <row r="15" spans="1:13">
      <c r="E15" s="20"/>
      <c r="F15" s="20"/>
      <c r="G15" s="18"/>
    </row>
    <row r="16" spans="1:13">
      <c r="E16" s="20"/>
      <c r="F16" s="20"/>
      <c r="G16" s="18"/>
    </row>
    <row r="17" spans="1:15">
      <c r="E17" s="20"/>
      <c r="F17" s="20"/>
      <c r="G17" s="18"/>
    </row>
    <row r="18" spans="1:15">
      <c r="E18" s="20"/>
      <c r="F18" s="20"/>
      <c r="G18" s="18"/>
    </row>
    <row r="19" spans="1:15">
      <c r="E19" s="20"/>
      <c r="F19" s="20"/>
      <c r="G19" s="18"/>
    </row>
    <row r="20" spans="1:15">
      <c r="E20" s="20"/>
      <c r="F20" s="20"/>
      <c r="G20" s="18"/>
    </row>
    <row r="21" spans="1:15">
      <c r="E21" s="20"/>
      <c r="F21" s="20"/>
      <c r="G21" s="18"/>
    </row>
    <row r="22" spans="1:15">
      <c r="E22" s="20"/>
      <c r="F22" s="20"/>
      <c r="G22" s="18"/>
    </row>
    <row r="23" spans="1:15" ht="7.5" customHeight="1">
      <c r="E23" s="20"/>
      <c r="F23" s="20"/>
      <c r="G23" s="18"/>
    </row>
    <row r="25" spans="1:15">
      <c r="A25" s="19" t="s">
        <v>3</v>
      </c>
      <c r="G25" s="18"/>
    </row>
    <row r="26" spans="1:15">
      <c r="G26" s="18"/>
    </row>
    <row r="27" spans="1:15">
      <c r="G27" s="18"/>
    </row>
    <row r="28" spans="1:15">
      <c r="G28" s="18"/>
    </row>
    <row r="29" spans="1:15">
      <c r="E29" s="20"/>
      <c r="F29" s="20"/>
      <c r="G29" s="18"/>
    </row>
    <row r="30" spans="1:15">
      <c r="D30" s="17" t="s">
        <v>2</v>
      </c>
      <c r="G30" s="18"/>
      <c r="N30" s="29"/>
      <c r="O30" s="29"/>
    </row>
    <row r="31" spans="1:15">
      <c r="G31" s="18"/>
      <c r="N31" s="29"/>
      <c r="O31" s="29"/>
    </row>
    <row r="32" spans="1:15">
      <c r="E32" s="20"/>
      <c r="F32" s="20"/>
      <c r="G32" s="18"/>
      <c r="N32" s="29"/>
      <c r="O32" s="29"/>
    </row>
    <row r="33" spans="1:22" ht="18.75" customHeight="1">
      <c r="E33" s="22"/>
      <c r="F33" s="22"/>
      <c r="G33" s="18"/>
      <c r="N33" s="29"/>
      <c r="O33" s="29"/>
    </row>
    <row r="34" spans="1:22">
      <c r="A34" s="17" t="s">
        <v>4</v>
      </c>
      <c r="N34" s="29"/>
      <c r="O34" s="29"/>
    </row>
    <row r="35" spans="1:22" ht="16.5" customHeight="1">
      <c r="N35" s="29"/>
      <c r="O35" s="29"/>
    </row>
    <row r="36" spans="1:22">
      <c r="C36" s="23" t="s">
        <v>96</v>
      </c>
      <c r="D36" s="41">
        <v>30</v>
      </c>
      <c r="E36" s="130"/>
      <c r="F36" s="131" t="s">
        <v>97</v>
      </c>
      <c r="G36" s="132">
        <f>D36*PI()/180</f>
        <v>0.52359877559829882</v>
      </c>
      <c r="K36" s="26"/>
    </row>
    <row r="37" spans="1:22" ht="13.5">
      <c r="C37" s="27" t="s">
        <v>5</v>
      </c>
      <c r="D37" s="132">
        <f>(TAN(PI()/4-G36/2))^2</f>
        <v>0.33333333333333343</v>
      </c>
      <c r="E37" s="130"/>
      <c r="F37" s="131" t="s">
        <v>98</v>
      </c>
      <c r="G37" s="54">
        <v>20</v>
      </c>
      <c r="K37" s="26"/>
    </row>
    <row r="38" spans="1:22">
      <c r="C38" s="23" t="s">
        <v>99</v>
      </c>
      <c r="D38" s="25">
        <f>TAN(G36)</f>
        <v>0.57735026918962573</v>
      </c>
      <c r="E38" s="24"/>
      <c r="K38" s="26"/>
    </row>
    <row r="40" spans="1:22" s="31" customFormat="1" ht="36.75" customHeight="1">
      <c r="A40" s="168"/>
      <c r="B40" s="138" t="s">
        <v>128</v>
      </c>
      <c r="C40" s="202" t="s">
        <v>129</v>
      </c>
      <c r="D40" s="202" t="s">
        <v>130</v>
      </c>
      <c r="E40" s="202" t="s">
        <v>209</v>
      </c>
      <c r="F40" s="202" t="s">
        <v>208</v>
      </c>
      <c r="G40" s="202" t="s">
        <v>223</v>
      </c>
      <c r="H40" s="202" t="s">
        <v>207</v>
      </c>
      <c r="I40" s="202" t="s">
        <v>205</v>
      </c>
      <c r="J40" s="204" t="s">
        <v>10</v>
      </c>
      <c r="K40" s="202" t="s">
        <v>206</v>
      </c>
      <c r="L40" s="202" t="s">
        <v>202</v>
      </c>
      <c r="O40" s="138" t="s">
        <v>203</v>
      </c>
      <c r="P40" s="198" t="s">
        <v>11</v>
      </c>
      <c r="Q40" s="137" t="s">
        <v>12</v>
      </c>
      <c r="R40" s="201"/>
      <c r="S40" s="197"/>
      <c r="V40" s="17"/>
    </row>
    <row r="41" spans="1:22" ht="13.5" customHeight="1">
      <c r="A41" s="169"/>
      <c r="B41" s="55" t="s">
        <v>318</v>
      </c>
      <c r="C41" s="178" t="s">
        <v>319</v>
      </c>
      <c r="D41" s="53">
        <v>3</v>
      </c>
      <c r="E41" s="55">
        <v>10</v>
      </c>
      <c r="F41" s="134">
        <f>+INDEX(Especificaciones!$C$5:$C$25,MATCH('Flexible - D P21'!O41,Especificaciones!$B$5:$B$25,-1))</f>
        <v>0.2732</v>
      </c>
      <c r="G41" s="231">
        <v>2862.86</v>
      </c>
      <c r="H41" s="231">
        <v>1.7</v>
      </c>
      <c r="I41" s="53">
        <v>1</v>
      </c>
      <c r="J41" s="32">
        <f t="shared" ref="J41:J42" si="0">IF(I41&gt;=2*F41,H41/F41,(1-EXP(-2*$D$37*$D$38*H41/I41))/(2*$D$37*$D$38))</f>
        <v>6.2225475841874083</v>
      </c>
      <c r="K41" s="135">
        <f t="shared" ref="K41:K42" si="1">IF(I41&gt;=2*F41,J41*$G$37*F41^2,J41*$G$37*I41*F41)</f>
        <v>9.2888000000000002</v>
      </c>
      <c r="L41" s="135" t="s">
        <v>17</v>
      </c>
      <c r="N41" s="38"/>
      <c r="O41" s="55">
        <v>250</v>
      </c>
      <c r="P41" s="21">
        <f t="shared" ref="P41:P42" si="2">+F41+H41+0.1</f>
        <v>2.0731999999999999</v>
      </c>
      <c r="Q41" s="21">
        <f t="shared" ref="Q41:Q42" si="3">P41*1.5</f>
        <v>3.1097999999999999</v>
      </c>
      <c r="R41" s="13"/>
      <c r="S41" s="14"/>
      <c r="T41" s="29"/>
      <c r="U41" s="14"/>
      <c r="V41" s="29"/>
    </row>
    <row r="42" spans="1:22" ht="13.5" customHeight="1">
      <c r="A42" s="169"/>
      <c r="B42" s="55" t="s">
        <v>319</v>
      </c>
      <c r="C42" s="178" t="s">
        <v>320</v>
      </c>
      <c r="D42" s="53">
        <v>5.6</v>
      </c>
      <c r="E42" s="55">
        <v>10</v>
      </c>
      <c r="F42" s="134">
        <f>+INDEX(Especificaciones!$C$5:$C$25,MATCH('Flexible - D P21'!O42,Especificaciones!$B$5:$B$25,-1))</f>
        <v>0.2732</v>
      </c>
      <c r="G42" s="231">
        <v>2862.16</v>
      </c>
      <c r="H42" s="231">
        <v>1.05</v>
      </c>
      <c r="I42" s="53">
        <v>1</v>
      </c>
      <c r="J42" s="32">
        <f t="shared" si="0"/>
        <v>3.8433382137628112</v>
      </c>
      <c r="K42" s="135">
        <f t="shared" si="1"/>
        <v>5.7372000000000005</v>
      </c>
      <c r="L42" s="135" t="s">
        <v>17</v>
      </c>
      <c r="N42" s="38"/>
      <c r="O42" s="55">
        <v>250</v>
      </c>
      <c r="P42" s="21">
        <f t="shared" si="2"/>
        <v>1.4232</v>
      </c>
      <c r="Q42" s="21">
        <f t="shared" si="3"/>
        <v>2.1348000000000003</v>
      </c>
      <c r="R42" s="13"/>
      <c r="S42" s="14"/>
      <c r="T42" s="29"/>
      <c r="U42" s="14"/>
      <c r="V42" s="29"/>
    </row>
    <row r="43" spans="1:22">
      <c r="A43" s="199"/>
      <c r="B43" s="199"/>
      <c r="C43" s="35"/>
      <c r="D43" s="71"/>
      <c r="E43" s="36"/>
      <c r="F43" s="35"/>
      <c r="H43" s="35"/>
      <c r="I43" s="35"/>
      <c r="J43" s="60"/>
      <c r="K43" s="36"/>
      <c r="L43" s="36"/>
      <c r="M43" s="37"/>
      <c r="N43" s="38"/>
      <c r="O43" s="55"/>
      <c r="P43" s="21"/>
      <c r="Q43" s="21"/>
    </row>
    <row r="44" spans="1:22">
      <c r="A44" s="19" t="s">
        <v>18</v>
      </c>
      <c r="B44" s="39"/>
      <c r="C44" s="19"/>
      <c r="D44" s="19"/>
      <c r="E44" s="19"/>
      <c r="F44" s="19"/>
      <c r="G44" s="19"/>
      <c r="H44" s="19"/>
      <c r="I44" s="19"/>
      <c r="J44" s="19"/>
      <c r="K44" s="19"/>
      <c r="L44" s="19"/>
    </row>
    <row r="45" spans="1:22">
      <c r="A45" s="19"/>
      <c r="B45" s="19"/>
      <c r="C45" s="19"/>
      <c r="D45" s="19"/>
      <c r="E45" s="40"/>
      <c r="F45" s="20"/>
      <c r="G45" s="40"/>
      <c r="H45" s="19"/>
      <c r="I45" s="19"/>
      <c r="J45" s="19"/>
      <c r="K45" s="19"/>
      <c r="L45" s="19"/>
    </row>
    <row r="46" spans="1:22">
      <c r="A46" s="19"/>
      <c r="B46" s="19"/>
      <c r="C46" s="19"/>
      <c r="H46" s="19"/>
      <c r="I46" s="19"/>
      <c r="J46" s="19"/>
      <c r="K46" s="19"/>
      <c r="L46" s="19"/>
      <c r="O46" s="29"/>
    </row>
    <row r="47" spans="1:22">
      <c r="A47" s="19"/>
      <c r="B47" s="19"/>
      <c r="C47" s="19"/>
      <c r="H47" s="19"/>
      <c r="I47" s="19"/>
      <c r="J47" s="19"/>
      <c r="K47" s="19"/>
      <c r="L47" s="19"/>
    </row>
    <row r="48" spans="1:22">
      <c r="B48" s="19"/>
      <c r="C48" s="19"/>
      <c r="H48" s="19"/>
      <c r="I48" s="19"/>
      <c r="J48" s="19"/>
      <c r="K48" s="19"/>
      <c r="L48" s="19"/>
    </row>
    <row r="49" spans="1:26" s="31" customFormat="1" ht="11.25" customHeight="1">
      <c r="A49" s="19"/>
      <c r="B49" s="19"/>
      <c r="C49" s="19"/>
      <c r="D49" s="17" t="s">
        <v>2</v>
      </c>
      <c r="E49" s="19"/>
      <c r="F49" s="19"/>
      <c r="G49" s="19"/>
      <c r="H49" s="19"/>
      <c r="I49" s="19"/>
      <c r="J49" s="19"/>
      <c r="K49" s="19"/>
      <c r="L49" s="19"/>
      <c r="M49" s="17"/>
      <c r="N49" s="17"/>
      <c r="P49" s="17"/>
      <c r="Q49" s="17"/>
      <c r="R49" s="17"/>
      <c r="S49" s="17"/>
      <c r="T49" s="17"/>
      <c r="U49" s="17"/>
      <c r="W49" s="17"/>
      <c r="X49" s="17"/>
      <c r="Y49" s="17"/>
      <c r="Z49" s="17"/>
    </row>
    <row r="50" spans="1:26" s="31" customFormat="1" ht="16.5" customHeight="1">
      <c r="A50" s="19"/>
      <c r="B50" s="19"/>
      <c r="C50" s="19"/>
      <c r="D50" s="17"/>
      <c r="E50" s="40"/>
      <c r="F50" s="40"/>
      <c r="G50" s="40"/>
      <c r="H50" s="19"/>
      <c r="I50" s="19"/>
      <c r="J50" s="19"/>
      <c r="K50" s="19"/>
      <c r="L50" s="19"/>
      <c r="M50" s="17"/>
      <c r="N50" s="17"/>
      <c r="P50" s="17"/>
      <c r="Q50" s="17"/>
      <c r="R50" s="17"/>
      <c r="S50" s="17"/>
      <c r="T50" s="17"/>
      <c r="U50" s="17"/>
      <c r="W50" s="17"/>
      <c r="X50" s="17"/>
      <c r="Y50" s="17"/>
      <c r="Z50" s="17"/>
    </row>
    <row r="51" spans="1:26" s="31" customFormat="1" ht="18.75" customHeight="1">
      <c r="A51" s="19"/>
      <c r="B51" s="19"/>
      <c r="C51" s="19"/>
      <c r="D51" s="17"/>
      <c r="E51" s="40"/>
      <c r="F51" s="40"/>
      <c r="G51" s="40"/>
      <c r="H51" s="19"/>
      <c r="I51" s="19"/>
      <c r="J51" s="19"/>
      <c r="K51" s="19"/>
      <c r="L51" s="19"/>
      <c r="M51" s="17"/>
      <c r="N51" s="17"/>
      <c r="P51" s="17"/>
      <c r="Q51" s="17"/>
      <c r="R51" s="17"/>
      <c r="S51" s="17"/>
      <c r="T51" s="17"/>
      <c r="U51" s="17"/>
      <c r="W51" s="17"/>
      <c r="X51" s="17"/>
      <c r="Y51" s="17"/>
      <c r="Z51" s="17"/>
    </row>
    <row r="52" spans="1:26" s="31" customFormat="1" ht="18.75" customHeight="1">
      <c r="A52" s="19"/>
      <c r="B52" s="19"/>
      <c r="C52" s="19"/>
      <c r="D52" s="17"/>
      <c r="E52" s="40"/>
      <c r="F52" s="40"/>
      <c r="G52" s="40"/>
      <c r="H52" s="19"/>
      <c r="I52" s="19"/>
      <c r="J52" s="19"/>
      <c r="K52" s="19"/>
      <c r="L52" s="19"/>
      <c r="M52" s="17"/>
      <c r="N52" s="17"/>
      <c r="P52" s="17"/>
      <c r="Q52" s="17"/>
      <c r="R52" s="17"/>
      <c r="S52" s="17"/>
      <c r="T52" s="17"/>
      <c r="U52" s="17"/>
      <c r="W52" s="17"/>
      <c r="X52" s="17"/>
      <c r="Y52" s="17"/>
      <c r="Z52" s="17"/>
    </row>
    <row r="53" spans="1:26" s="31" customFormat="1" ht="12.75" customHeight="1">
      <c r="A53" s="19"/>
      <c r="B53" s="19"/>
      <c r="C53" s="19"/>
      <c r="D53" s="19"/>
      <c r="E53" s="40"/>
      <c r="F53" s="40"/>
      <c r="G53" s="40"/>
      <c r="H53" s="19"/>
      <c r="I53" s="19"/>
      <c r="J53" s="19"/>
      <c r="K53" s="19"/>
      <c r="L53" s="19"/>
      <c r="M53" s="17"/>
      <c r="N53" s="17"/>
      <c r="P53" s="17"/>
      <c r="Q53" s="17"/>
      <c r="R53" s="17"/>
      <c r="S53" s="17"/>
      <c r="T53" s="17"/>
      <c r="U53" s="17"/>
      <c r="W53" s="17"/>
      <c r="X53" s="17"/>
      <c r="Y53" s="17"/>
      <c r="Z53" s="17"/>
    </row>
    <row r="54" spans="1:26" s="31" customFormat="1" ht="15" customHeight="1">
      <c r="A54" s="19"/>
      <c r="B54" s="19"/>
      <c r="C54" s="19"/>
      <c r="D54" s="19"/>
      <c r="E54" s="40"/>
      <c r="F54" s="40"/>
      <c r="G54" s="40"/>
      <c r="H54" s="19"/>
      <c r="I54" s="19"/>
      <c r="J54" s="19"/>
      <c r="K54" s="19"/>
      <c r="L54" s="19"/>
      <c r="M54" s="17"/>
      <c r="N54" s="17"/>
      <c r="P54" s="17"/>
      <c r="Q54" s="17"/>
      <c r="R54" s="17"/>
      <c r="S54" s="17"/>
      <c r="T54" s="17"/>
      <c r="U54" s="17"/>
      <c r="W54" s="17"/>
      <c r="X54" s="17"/>
      <c r="Y54" s="17"/>
      <c r="Z54" s="17"/>
    </row>
    <row r="55" spans="1:26" ht="7.5" customHeight="1">
      <c r="A55" s="19"/>
      <c r="B55" s="19"/>
      <c r="C55" s="19"/>
      <c r="D55" s="19"/>
      <c r="E55" s="40"/>
      <c r="F55" s="40"/>
      <c r="G55" s="40"/>
      <c r="H55" s="19"/>
      <c r="I55" s="19"/>
      <c r="J55" s="19"/>
      <c r="K55" s="19"/>
      <c r="L55" s="19"/>
      <c r="M55" s="19"/>
    </row>
    <row r="56" spans="1:26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</row>
    <row r="57" spans="1:26">
      <c r="A57" s="17" t="s">
        <v>19</v>
      </c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</row>
    <row r="58" spans="1:26"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</row>
    <row r="59" spans="1:26">
      <c r="C59" s="139" t="s">
        <v>20</v>
      </c>
      <c r="D59" s="41">
        <v>80</v>
      </c>
      <c r="F59" s="19"/>
      <c r="G59" s="19"/>
      <c r="H59" s="19"/>
      <c r="I59" s="19"/>
      <c r="J59" s="19"/>
      <c r="K59" s="19"/>
      <c r="L59" s="19"/>
      <c r="M59" s="19"/>
    </row>
    <row r="60" spans="1:26">
      <c r="C60" s="295" t="s">
        <v>21</v>
      </c>
      <c r="D60" s="4">
        <v>1.2</v>
      </c>
      <c r="E60" s="1" t="s">
        <v>174</v>
      </c>
      <c r="F60" s="19"/>
      <c r="G60" s="19"/>
      <c r="H60" s="19"/>
      <c r="I60" s="19"/>
      <c r="J60" s="19"/>
      <c r="K60" s="19"/>
      <c r="L60" s="19"/>
      <c r="M60" s="19"/>
    </row>
    <row r="61" spans="1:26">
      <c r="C61" s="296"/>
      <c r="D61" s="4">
        <v>1.1000000000000001</v>
      </c>
      <c r="E61" s="1" t="s">
        <v>22</v>
      </c>
      <c r="F61" s="19"/>
      <c r="G61" s="19"/>
      <c r="H61" s="19"/>
      <c r="I61" s="19"/>
      <c r="J61" s="19"/>
      <c r="K61" s="19"/>
      <c r="L61" s="19"/>
      <c r="M61" s="19"/>
    </row>
    <row r="62" spans="1:26">
      <c r="C62" s="297"/>
      <c r="D62" s="42">
        <v>1</v>
      </c>
      <c r="E62" s="1" t="s">
        <v>175</v>
      </c>
      <c r="M62" s="19"/>
    </row>
    <row r="63" spans="1:26">
      <c r="M63" s="19"/>
    </row>
    <row r="64" spans="1:26" s="31" customFormat="1" ht="30" customHeight="1">
      <c r="A64" s="168"/>
      <c r="B64" s="138" t="str">
        <f>B$40</f>
        <v>Pozo de</v>
      </c>
      <c r="C64" s="202" t="str">
        <f>C$40</f>
        <v>Pozo a</v>
      </c>
      <c r="D64" s="202" t="s">
        <v>130</v>
      </c>
      <c r="E64" s="202" t="s">
        <v>209</v>
      </c>
      <c r="F64" s="202" t="s">
        <v>204</v>
      </c>
      <c r="G64" s="204" t="s">
        <v>134</v>
      </c>
      <c r="H64" s="202" t="s">
        <v>205</v>
      </c>
      <c r="I64" s="202" t="s">
        <v>224</v>
      </c>
      <c r="J64" s="202" t="s">
        <v>225</v>
      </c>
      <c r="K64" s="202" t="s">
        <v>210</v>
      </c>
      <c r="L64" s="202" t="s">
        <v>211</v>
      </c>
      <c r="N64" s="200" t="s">
        <v>23</v>
      </c>
      <c r="W64" s="17"/>
      <c r="X64" s="17"/>
    </row>
    <row r="65" spans="1:26" s="74" customFormat="1" ht="12" customHeight="1">
      <c r="A65" s="169"/>
      <c r="B65" s="140" t="str">
        <f t="shared" ref="B65:F66" si="4">+B41</f>
        <v>CR-17</v>
      </c>
      <c r="C65" s="140" t="str">
        <f t="shared" si="4"/>
        <v>CS-08</v>
      </c>
      <c r="D65" s="135">
        <f t="shared" si="4"/>
        <v>3</v>
      </c>
      <c r="E65" s="95">
        <f t="shared" si="4"/>
        <v>10</v>
      </c>
      <c r="F65" s="135">
        <f t="shared" si="4"/>
        <v>0.2732</v>
      </c>
      <c r="G65" s="135">
        <f>+H41</f>
        <v>1.7</v>
      </c>
      <c r="H65" s="135">
        <f>+I41</f>
        <v>1</v>
      </c>
      <c r="I65" s="135">
        <f t="shared" ref="I65:I66" si="5">0.5+1.75*G65</f>
        <v>3.4750000000000001</v>
      </c>
      <c r="J65" s="135">
        <f t="shared" ref="J65:J66" si="6">0.25+1.75*G65</f>
        <v>3.2250000000000001</v>
      </c>
      <c r="K65" s="135">
        <f t="shared" ref="K65:K66" si="7">I65+1.75*(3*F65/4)</f>
        <v>3.8335750000000002</v>
      </c>
      <c r="L65" s="96">
        <f t="shared" ref="L65:L66" si="8">$D$59*CHOOSE(N65,$D$60,$D$61,$D$62)/K65</f>
        <v>20.868249610350652</v>
      </c>
      <c r="M65" s="17"/>
      <c r="N65" s="75">
        <f t="shared" ref="N65:N66" si="9">IF(G65&lt;0.6,1,IF(G65&lt;0.91,2,3))</f>
        <v>3</v>
      </c>
    </row>
    <row r="66" spans="1:26" s="74" customFormat="1" ht="12" customHeight="1">
      <c r="A66" s="169"/>
      <c r="B66" s="140" t="str">
        <f t="shared" si="4"/>
        <v>CS-08</v>
      </c>
      <c r="C66" s="140" t="str">
        <f t="shared" si="4"/>
        <v>78561D</v>
      </c>
      <c r="D66" s="135">
        <f t="shared" si="4"/>
        <v>5.6</v>
      </c>
      <c r="E66" s="95">
        <f t="shared" si="4"/>
        <v>10</v>
      </c>
      <c r="F66" s="135">
        <f t="shared" si="4"/>
        <v>0.2732</v>
      </c>
      <c r="G66" s="135">
        <f>+H42</f>
        <v>1.05</v>
      </c>
      <c r="H66" s="135">
        <f>+I42</f>
        <v>1</v>
      </c>
      <c r="I66" s="135">
        <f t="shared" si="5"/>
        <v>2.3375000000000004</v>
      </c>
      <c r="J66" s="135">
        <f t="shared" si="6"/>
        <v>2.0875000000000004</v>
      </c>
      <c r="K66" s="135">
        <f t="shared" si="7"/>
        <v>2.6960750000000004</v>
      </c>
      <c r="L66" s="96">
        <f t="shared" si="8"/>
        <v>29.67276503806459</v>
      </c>
      <c r="M66" s="17"/>
      <c r="N66" s="75">
        <f t="shared" si="9"/>
        <v>3</v>
      </c>
    </row>
    <row r="67" spans="1:26" s="74" customFormat="1" ht="11.25">
      <c r="E67" s="77"/>
      <c r="F67" s="78"/>
      <c r="G67" s="79"/>
      <c r="H67" s="79"/>
      <c r="I67" s="80"/>
      <c r="J67" s="80"/>
      <c r="K67" s="80"/>
    </row>
    <row r="68" spans="1:26">
      <c r="A68" s="19" t="s">
        <v>24</v>
      </c>
      <c r="D68" s="37"/>
      <c r="E68" s="30"/>
      <c r="F68" s="43"/>
      <c r="G68" s="43"/>
      <c r="H68" s="36"/>
      <c r="I68" s="36"/>
      <c r="J68" s="36"/>
    </row>
    <row r="69" spans="1:26">
      <c r="D69" s="37"/>
      <c r="E69" s="30"/>
      <c r="F69" s="43"/>
      <c r="G69" s="43"/>
      <c r="H69" s="36"/>
      <c r="I69" s="36"/>
      <c r="J69" s="36"/>
    </row>
    <row r="70" spans="1:26">
      <c r="A70" s="298" t="s">
        <v>116</v>
      </c>
      <c r="B70" s="298"/>
      <c r="C70" s="298"/>
      <c r="D70" s="298"/>
      <c r="E70" s="298"/>
      <c r="F70" s="298"/>
      <c r="G70" s="298"/>
      <c r="H70" s="298"/>
      <c r="I70" s="298"/>
      <c r="J70" s="298"/>
      <c r="K70" s="298"/>
      <c r="L70" s="298"/>
      <c r="M70" s="298"/>
    </row>
    <row r="71" spans="1:26">
      <c r="A71" s="298"/>
      <c r="B71" s="298"/>
      <c r="C71" s="298"/>
      <c r="D71" s="298"/>
      <c r="E71" s="298"/>
      <c r="F71" s="298"/>
      <c r="G71" s="298"/>
      <c r="H71" s="298"/>
      <c r="I71" s="298"/>
      <c r="J71" s="298"/>
      <c r="K71" s="298"/>
      <c r="L71" s="298"/>
      <c r="M71" s="298"/>
    </row>
    <row r="72" spans="1:26">
      <c r="D72" s="37"/>
      <c r="E72" s="30"/>
      <c r="F72" s="43"/>
      <c r="G72" s="43"/>
      <c r="H72" s="36"/>
      <c r="I72" s="36"/>
      <c r="J72" s="36"/>
    </row>
    <row r="73" spans="1:26">
      <c r="D73" s="37"/>
      <c r="E73" s="30"/>
      <c r="F73" s="43"/>
      <c r="G73" s="43"/>
      <c r="H73" s="36"/>
      <c r="I73" s="36"/>
      <c r="J73" s="36"/>
      <c r="P73" s="19"/>
      <c r="Q73" s="19"/>
      <c r="R73" s="19"/>
      <c r="S73" s="19"/>
      <c r="T73" s="19"/>
      <c r="U73" s="19"/>
      <c r="V73" s="19"/>
      <c r="Y73" s="19"/>
      <c r="Z73" s="19"/>
    </row>
    <row r="74" spans="1:26">
      <c r="D74" s="37"/>
      <c r="E74" s="30"/>
      <c r="F74" s="43"/>
      <c r="G74" s="43"/>
      <c r="H74" s="36"/>
      <c r="I74" s="36"/>
      <c r="J74" s="36"/>
      <c r="P74" s="19"/>
      <c r="Q74" s="19"/>
      <c r="R74" s="19"/>
      <c r="S74" s="19"/>
      <c r="T74" s="19"/>
      <c r="U74" s="19"/>
      <c r="V74" s="19"/>
      <c r="Y74" s="19"/>
      <c r="Z74" s="19"/>
    </row>
    <row r="75" spans="1:26">
      <c r="D75" s="37"/>
      <c r="E75" s="30"/>
      <c r="F75" s="43"/>
      <c r="G75" s="43"/>
      <c r="H75" s="36"/>
      <c r="I75" s="36"/>
      <c r="J75" s="36"/>
      <c r="P75" s="19"/>
      <c r="Q75" s="19"/>
      <c r="R75" s="19"/>
      <c r="S75" s="19"/>
      <c r="T75" s="19"/>
      <c r="U75" s="19"/>
      <c r="V75" s="19"/>
      <c r="Y75" s="19"/>
      <c r="Z75" s="19"/>
    </row>
    <row r="76" spans="1:26">
      <c r="D76" s="37"/>
      <c r="E76" s="30"/>
      <c r="F76" s="43"/>
      <c r="G76" s="43"/>
      <c r="H76" s="36"/>
      <c r="I76" s="36"/>
      <c r="J76" s="36"/>
      <c r="P76" s="19"/>
      <c r="Q76" s="19"/>
      <c r="R76" s="19"/>
      <c r="S76" s="19"/>
      <c r="T76" s="19"/>
      <c r="U76" s="19"/>
      <c r="V76" s="19"/>
      <c r="Y76" s="19"/>
      <c r="Z76" s="19"/>
    </row>
    <row r="77" spans="1:26">
      <c r="A77" s="17" t="s">
        <v>2</v>
      </c>
      <c r="D77" s="37"/>
      <c r="E77" s="30"/>
      <c r="F77" s="43"/>
      <c r="G77" s="43"/>
      <c r="H77" s="36"/>
      <c r="I77" s="36"/>
      <c r="J77" s="36"/>
      <c r="P77" s="19"/>
      <c r="Q77" s="19"/>
      <c r="R77" s="19"/>
      <c r="S77" s="19"/>
      <c r="T77" s="19"/>
      <c r="U77" s="19"/>
      <c r="V77" s="19"/>
      <c r="Y77" s="19"/>
      <c r="Z77" s="19"/>
    </row>
    <row r="78" spans="1:26">
      <c r="C78" s="44" t="s">
        <v>100</v>
      </c>
      <c r="D78" s="45" t="s">
        <v>25</v>
      </c>
      <c r="E78" s="30"/>
      <c r="F78" s="43"/>
      <c r="G78" s="43"/>
      <c r="H78" s="36"/>
      <c r="I78" s="36"/>
      <c r="J78" s="36"/>
      <c r="O78" s="72"/>
      <c r="P78" s="154"/>
      <c r="Q78" s="154"/>
      <c r="R78" s="154"/>
      <c r="S78" s="19"/>
      <c r="T78" s="19"/>
      <c r="U78" s="19"/>
      <c r="V78" s="19"/>
      <c r="Y78" s="19"/>
      <c r="Z78" s="19"/>
    </row>
    <row r="79" spans="1:26">
      <c r="C79" s="44" t="s">
        <v>101</v>
      </c>
      <c r="D79" s="45" t="s">
        <v>27</v>
      </c>
      <c r="E79" s="30"/>
      <c r="F79" s="43"/>
      <c r="G79" s="43"/>
      <c r="H79" s="36"/>
      <c r="I79" s="36"/>
      <c r="J79" s="36"/>
      <c r="O79" s="199"/>
      <c r="P79" s="155"/>
      <c r="Q79" s="154"/>
      <c r="R79" s="154"/>
      <c r="S79" s="19"/>
      <c r="T79" s="19"/>
      <c r="U79" s="19"/>
      <c r="V79" s="19"/>
      <c r="W79" s="19"/>
      <c r="X79" s="19"/>
      <c r="Y79" s="19"/>
      <c r="Z79" s="19"/>
    </row>
    <row r="80" spans="1:26">
      <c r="C80" s="17" t="s">
        <v>26</v>
      </c>
      <c r="D80" s="45" t="s">
        <v>76</v>
      </c>
      <c r="E80" s="30"/>
      <c r="F80" s="43"/>
      <c r="G80" s="43"/>
      <c r="H80" s="36"/>
      <c r="I80" s="36"/>
      <c r="J80" s="36"/>
      <c r="O80" s="72"/>
      <c r="P80" s="155"/>
      <c r="Q80" s="154"/>
      <c r="R80" s="154"/>
      <c r="S80" s="19"/>
      <c r="T80" s="19"/>
      <c r="U80" s="19"/>
      <c r="V80" s="19"/>
      <c r="W80" s="19"/>
      <c r="X80" s="19"/>
      <c r="Y80" s="19"/>
      <c r="Z80" s="19"/>
    </row>
    <row r="81" spans="1:240" ht="13.5">
      <c r="C81" s="46" t="s">
        <v>102</v>
      </c>
      <c r="D81" s="45" t="s">
        <v>28</v>
      </c>
      <c r="E81" s="30"/>
      <c r="F81" s="43"/>
      <c r="G81" s="43"/>
      <c r="H81" s="36"/>
      <c r="I81" s="36"/>
      <c r="J81" s="36"/>
      <c r="O81" s="72"/>
      <c r="P81" s="155"/>
      <c r="Q81" s="154"/>
      <c r="R81" s="154"/>
    </row>
    <row r="82" spans="1:240">
      <c r="C82" s="17" t="s">
        <v>29</v>
      </c>
      <c r="D82" s="45" t="s">
        <v>30</v>
      </c>
      <c r="E82" s="30"/>
      <c r="F82" s="43"/>
      <c r="G82" s="43"/>
      <c r="H82" s="36"/>
      <c r="I82" s="36"/>
      <c r="J82" s="36"/>
      <c r="O82" s="72"/>
      <c r="P82" s="72"/>
      <c r="Q82" s="72"/>
      <c r="R82" s="72"/>
    </row>
    <row r="83" spans="1:240">
      <c r="C83" s="17" t="s">
        <v>31</v>
      </c>
      <c r="D83" s="45" t="s">
        <v>32</v>
      </c>
      <c r="E83" s="30"/>
      <c r="F83" s="43"/>
      <c r="G83" s="43"/>
      <c r="H83" s="36"/>
      <c r="I83" s="36"/>
      <c r="J83" s="36"/>
      <c r="O83" s="72"/>
      <c r="P83" s="72"/>
      <c r="Q83" s="72"/>
      <c r="R83" s="72"/>
      <c r="S83" s="301" t="s">
        <v>50</v>
      </c>
      <c r="T83" s="301" t="s">
        <v>51</v>
      </c>
      <c r="U83" s="301"/>
      <c r="V83" s="301"/>
      <c r="W83" s="301"/>
      <c r="X83" s="301"/>
      <c r="Y83" s="301"/>
      <c r="Z83" s="301"/>
      <c r="AA83" s="301"/>
    </row>
    <row r="84" spans="1:240">
      <c r="D84" s="45" t="s">
        <v>33</v>
      </c>
      <c r="E84" s="30"/>
      <c r="F84" s="43"/>
      <c r="G84" s="43"/>
      <c r="H84" s="36"/>
      <c r="I84" s="36"/>
      <c r="J84" s="36"/>
      <c r="O84" s="19"/>
      <c r="S84" s="301"/>
      <c r="T84" s="116">
        <v>1.25</v>
      </c>
      <c r="U84" s="116">
        <v>1.5</v>
      </c>
      <c r="V84" s="116">
        <v>1.75</v>
      </c>
      <c r="W84" s="116">
        <v>2</v>
      </c>
      <c r="X84" s="116">
        <v>2.5</v>
      </c>
      <c r="Y84" s="116">
        <v>3</v>
      </c>
      <c r="Z84" s="116">
        <v>4</v>
      </c>
      <c r="AA84" s="116">
        <v>5</v>
      </c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  <c r="HN84" s="19"/>
      <c r="HO84" s="19"/>
      <c r="HP84" s="19"/>
      <c r="HQ84" s="19"/>
      <c r="HR84" s="19"/>
      <c r="HS84" s="19"/>
      <c r="HT84" s="19"/>
      <c r="HU84" s="19"/>
      <c r="HV84" s="19"/>
      <c r="HW84" s="19"/>
      <c r="HX84" s="19"/>
      <c r="HY84" s="19"/>
      <c r="HZ84" s="19"/>
      <c r="IA84" s="19"/>
      <c r="IB84" s="19"/>
      <c r="IC84" s="19"/>
      <c r="ID84" s="19"/>
      <c r="IE84" s="19"/>
      <c r="IF84" s="19"/>
    </row>
    <row r="85" spans="1:240">
      <c r="C85" s="17" t="s">
        <v>34</v>
      </c>
      <c r="D85" s="45" t="s">
        <v>35</v>
      </c>
      <c r="E85" s="30"/>
      <c r="F85" s="43"/>
      <c r="G85" s="43"/>
      <c r="H85" s="36"/>
      <c r="I85" s="36"/>
      <c r="J85" s="36"/>
      <c r="O85" s="19"/>
      <c r="S85" s="196">
        <v>5.0000000000000001E-3</v>
      </c>
      <c r="T85" s="21">
        <v>0.02</v>
      </c>
      <c r="U85" s="21">
        <v>0.05</v>
      </c>
      <c r="V85" s="21">
        <v>0.08</v>
      </c>
      <c r="W85" s="21">
        <v>0.12</v>
      </c>
      <c r="X85" s="21">
        <v>0.23</v>
      </c>
      <c r="Y85" s="21">
        <v>0.43</v>
      </c>
      <c r="Z85" s="21">
        <v>0.72</v>
      </c>
      <c r="AA85" s="21">
        <v>1</v>
      </c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  <c r="HN85" s="19"/>
      <c r="HO85" s="19"/>
      <c r="HP85" s="19"/>
      <c r="HQ85" s="19"/>
      <c r="HR85" s="19"/>
      <c r="HS85" s="19"/>
      <c r="HT85" s="19"/>
      <c r="HU85" s="19"/>
      <c r="HV85" s="19"/>
      <c r="HW85" s="19"/>
      <c r="HX85" s="19"/>
      <c r="HY85" s="19"/>
      <c r="HZ85" s="19"/>
      <c r="IA85" s="19"/>
      <c r="IB85" s="19"/>
      <c r="IC85" s="19"/>
      <c r="ID85" s="19"/>
      <c r="IE85" s="19"/>
      <c r="IF85" s="19"/>
    </row>
    <row r="86" spans="1:240">
      <c r="C86" s="17" t="s">
        <v>36</v>
      </c>
      <c r="D86" s="45" t="s">
        <v>37</v>
      </c>
      <c r="E86" s="30"/>
      <c r="F86" s="43"/>
      <c r="G86" s="43"/>
      <c r="H86" s="36"/>
      <c r="I86" s="36"/>
      <c r="J86" s="36"/>
      <c r="O86" s="19"/>
      <c r="S86" s="196">
        <v>0.01</v>
      </c>
      <c r="T86" s="21">
        <v>0.03</v>
      </c>
      <c r="U86" s="21">
        <v>7.0000000000000007E-2</v>
      </c>
      <c r="V86" s="21">
        <v>0.11</v>
      </c>
      <c r="W86" s="21">
        <v>0.15</v>
      </c>
      <c r="X86" s="21">
        <v>0.27</v>
      </c>
      <c r="Y86" s="21">
        <v>0.47</v>
      </c>
      <c r="Z86" s="21">
        <v>0.74</v>
      </c>
      <c r="AA86" s="21">
        <v>1</v>
      </c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  <c r="HM86" s="19"/>
      <c r="HN86" s="19"/>
      <c r="HO86" s="19"/>
      <c r="HP86" s="19"/>
      <c r="HQ86" s="19"/>
      <c r="HR86" s="19"/>
      <c r="HS86" s="19"/>
      <c r="HT86" s="19"/>
      <c r="HU86" s="19"/>
      <c r="HV86" s="19"/>
      <c r="HW86" s="19"/>
      <c r="HX86" s="19"/>
      <c r="HY86" s="19"/>
      <c r="HZ86" s="19"/>
      <c r="IA86" s="19"/>
      <c r="IB86" s="19"/>
      <c r="IC86" s="19"/>
      <c r="ID86" s="19"/>
      <c r="IE86" s="19"/>
      <c r="IF86" s="19"/>
    </row>
    <row r="87" spans="1:240" ht="13.5">
      <c r="C87" s="17" t="s">
        <v>38</v>
      </c>
      <c r="D87" s="45" t="s">
        <v>103</v>
      </c>
      <c r="E87" s="30"/>
      <c r="F87" s="43"/>
      <c r="G87" s="43"/>
      <c r="H87" s="36"/>
      <c r="I87" s="36"/>
      <c r="J87" s="36"/>
      <c r="O87" s="19"/>
      <c r="S87" s="196">
        <v>0.02</v>
      </c>
      <c r="T87" s="21">
        <v>0.05</v>
      </c>
      <c r="U87" s="21">
        <v>0.1</v>
      </c>
      <c r="V87" s="21">
        <v>0.15</v>
      </c>
      <c r="W87" s="21">
        <v>0.2</v>
      </c>
      <c r="X87" s="21">
        <v>0.32</v>
      </c>
      <c r="Y87" s="21">
        <v>0.52</v>
      </c>
      <c r="Z87" s="21">
        <v>0.77</v>
      </c>
      <c r="AA87" s="21">
        <v>1</v>
      </c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  <c r="HK87" s="19"/>
      <c r="HL87" s="19"/>
      <c r="HM87" s="19"/>
      <c r="HN87" s="19"/>
      <c r="HO87" s="19"/>
      <c r="HP87" s="19"/>
      <c r="HQ87" s="19"/>
      <c r="HR87" s="19"/>
      <c r="HS87" s="19"/>
      <c r="HT87" s="19"/>
      <c r="HU87" s="19"/>
      <c r="HV87" s="19"/>
      <c r="HW87" s="19"/>
      <c r="HX87" s="19"/>
      <c r="HY87" s="19"/>
      <c r="HZ87" s="19"/>
      <c r="IA87" s="19"/>
      <c r="IB87" s="19"/>
      <c r="IC87" s="19"/>
      <c r="ID87" s="19"/>
      <c r="IE87" s="19"/>
    </row>
    <row r="88" spans="1:240">
      <c r="C88" s="17" t="s">
        <v>39</v>
      </c>
      <c r="D88" s="45" t="s">
        <v>40</v>
      </c>
      <c r="E88" s="30"/>
      <c r="F88" s="43"/>
      <c r="G88" s="43"/>
      <c r="H88" s="36"/>
      <c r="I88" s="36"/>
      <c r="J88" s="36"/>
      <c r="O88" s="19"/>
      <c r="S88" s="196">
        <v>0.05</v>
      </c>
      <c r="T88" s="21">
        <v>0.1</v>
      </c>
      <c r="U88" s="21">
        <v>0.15</v>
      </c>
      <c r="V88" s="21">
        <v>0.2</v>
      </c>
      <c r="W88" s="21">
        <v>0.27</v>
      </c>
      <c r="X88" s="21">
        <v>0.38</v>
      </c>
      <c r="Y88" s="21">
        <v>0.57999999999999996</v>
      </c>
      <c r="Z88" s="21">
        <v>0.8</v>
      </c>
      <c r="AA88" s="21">
        <v>1</v>
      </c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  <c r="HO88" s="19"/>
      <c r="HP88" s="19"/>
      <c r="HQ88" s="19"/>
      <c r="HR88" s="19"/>
      <c r="HS88" s="19"/>
      <c r="HT88" s="19"/>
      <c r="HU88" s="19"/>
      <c r="HV88" s="19"/>
      <c r="HW88" s="19"/>
      <c r="HX88" s="19"/>
      <c r="HY88" s="19"/>
      <c r="HZ88" s="19"/>
      <c r="IA88" s="19"/>
      <c r="IB88" s="19"/>
      <c r="IC88" s="19"/>
      <c r="ID88" s="19"/>
      <c r="IE88" s="19"/>
      <c r="IF88" s="19"/>
    </row>
    <row r="89" spans="1:240">
      <c r="D89" s="45" t="s">
        <v>199</v>
      </c>
      <c r="E89" s="30"/>
      <c r="F89" s="43"/>
      <c r="G89" s="43"/>
      <c r="H89" s="36"/>
      <c r="I89" s="36"/>
      <c r="J89" s="36"/>
      <c r="O89" s="19"/>
      <c r="S89" s="115">
        <v>0.1</v>
      </c>
      <c r="T89" s="21">
        <v>0.15</v>
      </c>
      <c r="U89" s="21">
        <v>0.2</v>
      </c>
      <c r="V89" s="21">
        <v>0.27</v>
      </c>
      <c r="W89" s="21">
        <v>0.35</v>
      </c>
      <c r="X89" s="21">
        <v>0.46</v>
      </c>
      <c r="Y89" s="21">
        <v>0.65</v>
      </c>
      <c r="Z89" s="21">
        <v>0.84</v>
      </c>
      <c r="AA89" s="21">
        <v>1</v>
      </c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</row>
    <row r="90" spans="1:240">
      <c r="D90" s="45" t="s">
        <v>200</v>
      </c>
      <c r="E90" s="30"/>
      <c r="F90" s="43"/>
      <c r="G90" s="43"/>
      <c r="H90" s="36"/>
      <c r="I90" s="36"/>
      <c r="J90" s="36"/>
      <c r="O90" s="19"/>
      <c r="S90" s="115">
        <v>0.2</v>
      </c>
      <c r="T90" s="21">
        <v>0.25</v>
      </c>
      <c r="U90" s="21">
        <v>0.3</v>
      </c>
      <c r="V90" s="21">
        <v>0.38</v>
      </c>
      <c r="W90" s="21">
        <v>0.47</v>
      </c>
      <c r="X90" s="21">
        <v>0.57999999999999996</v>
      </c>
      <c r="Y90" s="21">
        <v>0.75</v>
      </c>
      <c r="Z90" s="21">
        <v>0.88</v>
      </c>
      <c r="AA90" s="21">
        <v>1</v>
      </c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</row>
    <row r="91" spans="1:240">
      <c r="D91" s="45" t="s">
        <v>201</v>
      </c>
      <c r="E91" s="30"/>
      <c r="F91" s="43"/>
      <c r="G91" s="43"/>
      <c r="H91" s="36"/>
      <c r="I91" s="36"/>
      <c r="J91" s="36"/>
      <c r="O91" s="19"/>
      <c r="S91" s="115">
        <v>0.4</v>
      </c>
      <c r="T91" s="21">
        <v>0.45</v>
      </c>
      <c r="U91" s="21">
        <v>0.5</v>
      </c>
      <c r="V91" s="21">
        <v>0.56000000000000005</v>
      </c>
      <c r="W91" s="21">
        <v>0.64</v>
      </c>
      <c r="X91" s="21">
        <v>0.75</v>
      </c>
      <c r="Y91" s="21">
        <v>0.85</v>
      </c>
      <c r="Z91" s="21">
        <v>0.93</v>
      </c>
      <c r="AA91" s="21">
        <v>1</v>
      </c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  <c r="HY91" s="19"/>
      <c r="HZ91" s="19"/>
      <c r="IA91" s="19"/>
      <c r="IB91" s="19"/>
      <c r="IC91" s="19"/>
      <c r="ID91" s="19"/>
      <c r="IE91" s="19"/>
      <c r="IF91" s="19"/>
    </row>
    <row r="92" spans="1:240">
      <c r="D92" s="45"/>
      <c r="E92" s="30"/>
      <c r="F92" s="43"/>
      <c r="G92" s="43"/>
      <c r="H92" s="36"/>
      <c r="I92" s="36"/>
      <c r="J92" s="36"/>
      <c r="O92" s="19"/>
      <c r="S92" s="115">
        <v>0.6</v>
      </c>
      <c r="T92" s="21">
        <v>0.65</v>
      </c>
      <c r="U92" s="21">
        <v>0.7</v>
      </c>
      <c r="V92" s="21">
        <v>0.75</v>
      </c>
      <c r="W92" s="21">
        <v>0.81</v>
      </c>
      <c r="X92" s="21">
        <v>0.87</v>
      </c>
      <c r="Y92" s="21">
        <v>0.94</v>
      </c>
      <c r="Z92" s="21">
        <v>0.98</v>
      </c>
      <c r="AA92" s="21">
        <v>1</v>
      </c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  <c r="HM92" s="19"/>
      <c r="HN92" s="19"/>
      <c r="HO92" s="19"/>
      <c r="HP92" s="19"/>
      <c r="HQ92" s="19"/>
      <c r="HR92" s="19"/>
      <c r="HS92" s="19"/>
      <c r="HT92" s="19"/>
      <c r="HU92" s="19"/>
      <c r="HV92" s="19"/>
      <c r="HW92" s="19"/>
      <c r="HX92" s="19"/>
      <c r="HY92" s="19"/>
      <c r="HZ92" s="19"/>
      <c r="IA92" s="19"/>
      <c r="IB92" s="19"/>
      <c r="IC92" s="19"/>
      <c r="ID92" s="19"/>
      <c r="IE92" s="19"/>
      <c r="IF92" s="19"/>
    </row>
    <row r="93" spans="1:240">
      <c r="D93" s="37"/>
      <c r="E93" s="30"/>
      <c r="F93" s="43"/>
      <c r="G93" s="43"/>
      <c r="H93" s="36"/>
      <c r="I93" s="36"/>
      <c r="J93" s="36"/>
      <c r="O93" s="196" t="s">
        <v>198</v>
      </c>
      <c r="P93" s="196" t="s">
        <v>46</v>
      </c>
      <c r="Q93" s="196" t="s">
        <v>197</v>
      </c>
      <c r="S93" s="115">
        <v>0.8</v>
      </c>
      <c r="T93" s="21">
        <v>0.84</v>
      </c>
      <c r="U93" s="21">
        <v>0.87</v>
      </c>
      <c r="V93" s="21">
        <v>0.9</v>
      </c>
      <c r="W93" s="21">
        <v>0.93</v>
      </c>
      <c r="X93" s="21">
        <v>0.96</v>
      </c>
      <c r="Y93" s="21">
        <v>0.98</v>
      </c>
      <c r="Z93" s="21">
        <v>1</v>
      </c>
      <c r="AA93" s="21">
        <v>1</v>
      </c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</row>
    <row r="94" spans="1:240">
      <c r="A94" s="17" t="s">
        <v>41</v>
      </c>
      <c r="I94" s="36"/>
      <c r="J94" s="36"/>
      <c r="O94" s="198">
        <v>1</v>
      </c>
      <c r="P94" s="198">
        <v>0.105</v>
      </c>
      <c r="Q94" s="198">
        <v>14000</v>
      </c>
      <c r="S94" s="115">
        <v>1</v>
      </c>
      <c r="T94" s="21">
        <v>1</v>
      </c>
      <c r="U94" s="21">
        <v>1</v>
      </c>
      <c r="V94" s="21">
        <v>1</v>
      </c>
      <c r="W94" s="21">
        <v>1</v>
      </c>
      <c r="X94" s="21">
        <v>1</v>
      </c>
      <c r="Y94" s="21">
        <v>1</v>
      </c>
      <c r="Z94" s="21">
        <v>1</v>
      </c>
      <c r="AA94" s="21">
        <v>1</v>
      </c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  <c r="HO94" s="19"/>
      <c r="HP94" s="19"/>
      <c r="HQ94" s="19"/>
      <c r="HR94" s="19"/>
      <c r="HS94" s="19"/>
      <c r="HT94" s="19"/>
      <c r="HU94" s="19"/>
      <c r="HV94" s="19"/>
      <c r="HW94" s="19"/>
      <c r="HX94" s="19"/>
      <c r="HY94" s="19"/>
      <c r="HZ94" s="19"/>
      <c r="IA94" s="19"/>
      <c r="IB94" s="19"/>
      <c r="IC94" s="19"/>
      <c r="ID94" s="19"/>
      <c r="IE94" s="19"/>
      <c r="IF94" s="19"/>
    </row>
    <row r="95" spans="1:240">
      <c r="C95" s="47"/>
      <c r="I95" s="36"/>
      <c r="J95" s="36"/>
      <c r="O95" s="117">
        <v>2</v>
      </c>
      <c r="P95" s="117">
        <v>0.1</v>
      </c>
      <c r="Q95" s="117">
        <v>11000</v>
      </c>
      <c r="S95" s="115">
        <v>1.5</v>
      </c>
      <c r="T95" s="21">
        <v>1.4</v>
      </c>
      <c r="U95" s="21">
        <v>1.3</v>
      </c>
      <c r="V95" s="21">
        <v>1.2</v>
      </c>
      <c r="W95" s="21">
        <v>1.1200000000000001</v>
      </c>
      <c r="X95" s="21">
        <v>1.06</v>
      </c>
      <c r="Y95" s="239">
        <v>1.03</v>
      </c>
      <c r="Z95" s="239">
        <v>1</v>
      </c>
      <c r="AA95" s="21">
        <v>1</v>
      </c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  <c r="HK95" s="19"/>
      <c r="HL95" s="19"/>
      <c r="HM95" s="19"/>
      <c r="HN95" s="19"/>
      <c r="HO95" s="19"/>
      <c r="HP95" s="19"/>
      <c r="HQ95" s="19"/>
      <c r="HR95" s="19"/>
      <c r="HS95" s="19"/>
      <c r="HT95" s="19"/>
      <c r="HU95" s="19"/>
      <c r="HV95" s="19"/>
      <c r="HW95" s="19"/>
      <c r="HX95" s="19"/>
      <c r="HY95" s="19"/>
      <c r="HZ95" s="19"/>
      <c r="IA95" s="19"/>
      <c r="IB95" s="19"/>
      <c r="IC95" s="19"/>
      <c r="ID95" s="19"/>
      <c r="IE95" s="19"/>
      <c r="IF95" s="19"/>
    </row>
    <row r="96" spans="1:240" ht="13.5">
      <c r="B96" s="48" t="s">
        <v>102</v>
      </c>
      <c r="C96" s="49"/>
      <c r="D96" s="41">
        <v>1.5</v>
      </c>
      <c r="E96" s="72"/>
      <c r="F96" s="72"/>
      <c r="G96" s="72"/>
      <c r="H96" s="72"/>
      <c r="I96" s="36"/>
      <c r="J96" s="36"/>
      <c r="K96" s="72"/>
      <c r="L96" s="72"/>
      <c r="O96" s="198">
        <v>3</v>
      </c>
      <c r="P96" s="198">
        <v>9.6000000000000002E-2</v>
      </c>
      <c r="Q96" s="198">
        <v>4000</v>
      </c>
      <c r="S96" s="115">
        <v>2</v>
      </c>
      <c r="T96" s="21">
        <v>1.7</v>
      </c>
      <c r="U96" s="21">
        <v>1.5</v>
      </c>
      <c r="V96" s="21">
        <v>1.4</v>
      </c>
      <c r="W96" s="21">
        <v>1.3</v>
      </c>
      <c r="X96" s="21">
        <v>1.2</v>
      </c>
      <c r="Y96" s="239">
        <v>1.1000000000000001</v>
      </c>
      <c r="Z96" s="239">
        <v>1.05</v>
      </c>
      <c r="AA96" s="21">
        <v>1</v>
      </c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  <c r="HK96" s="19"/>
      <c r="HL96" s="19"/>
      <c r="HM96" s="19"/>
      <c r="HN96" s="19"/>
      <c r="HO96" s="19"/>
      <c r="HP96" s="19"/>
      <c r="HQ96" s="19"/>
      <c r="HR96" s="19"/>
      <c r="HS96" s="19"/>
      <c r="HT96" s="19"/>
      <c r="HU96" s="19"/>
      <c r="HV96" s="19"/>
      <c r="HW96" s="19"/>
      <c r="HX96" s="19"/>
      <c r="HY96" s="19"/>
      <c r="HZ96" s="19"/>
      <c r="IA96" s="19"/>
      <c r="IB96" s="19"/>
      <c r="IC96" s="19"/>
      <c r="ID96" s="19"/>
      <c r="IE96" s="19"/>
      <c r="IF96" s="19"/>
    </row>
    <row r="97" spans="1:240" ht="13.5">
      <c r="B97" s="50" t="s">
        <v>104</v>
      </c>
      <c r="C97" s="51"/>
      <c r="D97" s="53">
        <f>0.149*57</f>
        <v>8.4930000000000003</v>
      </c>
      <c r="E97" s="123" t="s">
        <v>42</v>
      </c>
      <c r="F97" s="72"/>
      <c r="G97" s="72"/>
      <c r="H97" s="72"/>
      <c r="I97" s="36"/>
      <c r="J97" s="36"/>
      <c r="K97" s="72"/>
      <c r="L97" s="72"/>
      <c r="O97" s="198">
        <v>4</v>
      </c>
      <c r="P97" s="198">
        <v>0.1</v>
      </c>
      <c r="Q97" s="198">
        <v>16000</v>
      </c>
      <c r="S97" s="115">
        <v>3</v>
      </c>
      <c r="T97" s="21">
        <v>2.2000000000000002</v>
      </c>
      <c r="U97" s="21">
        <v>1.8</v>
      </c>
      <c r="V97" s="21">
        <v>1.65</v>
      </c>
      <c r="W97" s="21">
        <v>1.5</v>
      </c>
      <c r="X97" s="21">
        <v>1.35</v>
      </c>
      <c r="Y97" s="21">
        <v>1.2</v>
      </c>
      <c r="Z97" s="21">
        <v>1.1000000000000001</v>
      </c>
      <c r="AA97" s="21">
        <v>1</v>
      </c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  <c r="HM97" s="19"/>
      <c r="HN97" s="19"/>
      <c r="HO97" s="19"/>
      <c r="HP97" s="19"/>
      <c r="HQ97" s="19"/>
      <c r="HR97" s="19"/>
      <c r="HS97" s="19"/>
      <c r="HT97" s="19"/>
      <c r="HU97" s="19"/>
      <c r="HV97" s="19"/>
      <c r="HW97" s="19"/>
      <c r="HX97" s="19"/>
      <c r="HY97" s="19"/>
      <c r="HZ97" s="19"/>
      <c r="IA97" s="19"/>
      <c r="IB97" s="19"/>
      <c r="IC97" s="19"/>
      <c r="ID97" s="19"/>
      <c r="IE97" s="19"/>
      <c r="IF97" s="19"/>
    </row>
    <row r="98" spans="1:240" ht="13.5">
      <c r="B98" s="50" t="s">
        <v>105</v>
      </c>
      <c r="C98" s="51"/>
      <c r="D98" s="54">
        <f>D97/14.21*100</f>
        <v>59.767769176636165</v>
      </c>
      <c r="E98" s="123" t="s">
        <v>43</v>
      </c>
      <c r="F98" s="123"/>
      <c r="G98" s="123"/>
      <c r="H98" s="123"/>
      <c r="I98" s="60"/>
      <c r="J98" s="60"/>
      <c r="K98" s="123"/>
      <c r="L98" s="72"/>
      <c r="S98" s="115">
        <v>5</v>
      </c>
      <c r="T98" s="21">
        <v>3</v>
      </c>
      <c r="U98" s="21">
        <v>2.2000000000000002</v>
      </c>
      <c r="V98" s="21">
        <v>1.9</v>
      </c>
      <c r="W98" s="21">
        <v>1.7</v>
      </c>
      <c r="X98" s="21">
        <v>1.5</v>
      </c>
      <c r="Y98" s="21">
        <v>1.3</v>
      </c>
      <c r="Z98" s="21">
        <v>1.1499999999999999</v>
      </c>
      <c r="AA98" s="21">
        <v>1</v>
      </c>
    </row>
    <row r="99" spans="1:240" ht="13.5">
      <c r="B99" s="50" t="s">
        <v>104</v>
      </c>
      <c r="C99" s="51"/>
      <c r="D99" s="53">
        <f>0.149*28</f>
        <v>4.1719999999999997</v>
      </c>
      <c r="E99" s="123" t="s">
        <v>132</v>
      </c>
      <c r="F99" s="123"/>
      <c r="G99" s="123"/>
      <c r="H99" s="123"/>
      <c r="I99" s="60"/>
      <c r="J99" s="60"/>
      <c r="K99" s="123"/>
      <c r="L99" s="72"/>
    </row>
    <row r="100" spans="1:240" ht="13.5">
      <c r="B100" s="50" t="s">
        <v>105</v>
      </c>
      <c r="C100" s="51"/>
      <c r="D100" s="54">
        <f>D99/14.21*100</f>
        <v>29.359605911330043</v>
      </c>
      <c r="E100" s="123" t="s">
        <v>44</v>
      </c>
      <c r="F100" s="123"/>
      <c r="G100" s="123"/>
      <c r="H100" s="123"/>
      <c r="I100" s="60"/>
      <c r="J100" s="60"/>
      <c r="K100" s="123"/>
      <c r="L100" s="72"/>
    </row>
    <row r="101" spans="1:240" ht="13.5">
      <c r="B101" s="50" t="s">
        <v>213</v>
      </c>
      <c r="C101" s="49"/>
      <c r="D101" s="55">
        <v>19800</v>
      </c>
      <c r="E101" s="123" t="s">
        <v>239</v>
      </c>
      <c r="F101" s="123"/>
      <c r="G101" s="123"/>
      <c r="H101" s="123"/>
      <c r="I101" s="60"/>
      <c r="J101" s="60"/>
      <c r="K101" s="123"/>
      <c r="L101" s="72"/>
    </row>
    <row r="102" spans="1:240" s="56" customFormat="1">
      <c r="D102" s="57"/>
      <c r="E102" s="58"/>
      <c r="F102" s="59"/>
      <c r="G102" s="59"/>
      <c r="H102" s="60"/>
      <c r="I102" s="60"/>
      <c r="J102" s="60"/>
      <c r="S102" s="17"/>
      <c r="W102" s="17"/>
      <c r="X102" s="17"/>
    </row>
    <row r="103" spans="1:240" s="31" customFormat="1" ht="25.5">
      <c r="B103" s="202" t="str">
        <f>B$40</f>
        <v>Pozo de</v>
      </c>
      <c r="C103" s="202" t="str">
        <f>C$40</f>
        <v>Pozo a</v>
      </c>
      <c r="D103" s="202" t="s">
        <v>130</v>
      </c>
      <c r="E103" s="202" t="s">
        <v>208</v>
      </c>
      <c r="F103" s="202" t="str">
        <f>I40</f>
        <v>Ancho zanja
Bd (m)</v>
      </c>
      <c r="G103" s="142" t="s">
        <v>212</v>
      </c>
      <c r="H103" s="143" t="s">
        <v>46</v>
      </c>
      <c r="I103" s="202" t="s">
        <v>226</v>
      </c>
      <c r="J103" s="204" t="s">
        <v>47</v>
      </c>
      <c r="K103" s="202" t="s">
        <v>227</v>
      </c>
      <c r="L103" s="144" t="s">
        <v>228</v>
      </c>
      <c r="N103" s="17" t="s">
        <v>50</v>
      </c>
      <c r="O103" s="17" t="s">
        <v>51</v>
      </c>
      <c r="P103" s="61"/>
      <c r="Q103" s="61"/>
      <c r="R103" s="61"/>
      <c r="S103" s="61"/>
      <c r="T103" s="61"/>
      <c r="U103" s="61"/>
      <c r="V103" s="17"/>
      <c r="W103" s="17"/>
      <c r="X103" s="61"/>
      <c r="Y103" s="61"/>
    </row>
    <row r="104" spans="1:240" s="74" customFormat="1">
      <c r="B104" s="140" t="str">
        <f t="shared" ref="B104:D105" si="10">+B65</f>
        <v>CR-17</v>
      </c>
      <c r="C104" s="140" t="str">
        <f t="shared" si="10"/>
        <v>CS-08</v>
      </c>
      <c r="D104" s="135">
        <f t="shared" si="10"/>
        <v>3</v>
      </c>
      <c r="E104" s="135">
        <f>+F65</f>
        <v>0.2732</v>
      </c>
      <c r="F104" s="135">
        <f>+H65</f>
        <v>1</v>
      </c>
      <c r="G104" s="135">
        <f>K41+L65</f>
        <v>30.157049610350654</v>
      </c>
      <c r="H104" s="132">
        <v>0.1</v>
      </c>
      <c r="I104" s="156">
        <v>11000</v>
      </c>
      <c r="J104" s="52">
        <v>1.044</v>
      </c>
      <c r="K104" s="140">
        <f t="shared" ref="K104:K105" si="11">I104*J104</f>
        <v>11484</v>
      </c>
      <c r="L104" s="135">
        <f t="shared" ref="L104:L105" si="12">(($D$96*H104*G104)/(IF(E104&lt;=0.5,$D$98,$D$100)+(0.061*K104)))*100</f>
        <v>0.59497651098491044</v>
      </c>
      <c r="M104" s="81"/>
      <c r="N104" s="81">
        <f t="shared" ref="N104:N105" si="13">$D$101/I104</f>
        <v>1.8</v>
      </c>
      <c r="O104" s="81">
        <f t="shared" ref="O104:O105" si="14">F104/E104</f>
        <v>3.6603221083455346</v>
      </c>
      <c r="P104" s="82"/>
      <c r="Q104" s="82"/>
      <c r="R104" s="83"/>
      <c r="S104" s="82"/>
      <c r="T104" s="83"/>
      <c r="U104" s="83"/>
      <c r="V104" s="83"/>
      <c r="W104" s="83"/>
      <c r="X104" s="84"/>
      <c r="Y104" s="84"/>
    </row>
    <row r="105" spans="1:240" s="74" customFormat="1">
      <c r="B105" s="140" t="str">
        <f t="shared" si="10"/>
        <v>CS-08</v>
      </c>
      <c r="C105" s="140" t="str">
        <f t="shared" si="10"/>
        <v>78561D</v>
      </c>
      <c r="D105" s="135">
        <f t="shared" si="10"/>
        <v>5.6</v>
      </c>
      <c r="E105" s="135">
        <f>+F66</f>
        <v>0.2732</v>
      </c>
      <c r="F105" s="135">
        <f>+H66</f>
        <v>1</v>
      </c>
      <c r="G105" s="135">
        <f>K42+L66</f>
        <v>35.409965038064591</v>
      </c>
      <c r="H105" s="132">
        <v>0.1</v>
      </c>
      <c r="I105" s="156">
        <v>11000</v>
      </c>
      <c r="J105" s="52">
        <v>1.044</v>
      </c>
      <c r="K105" s="140">
        <f t="shared" si="11"/>
        <v>11484</v>
      </c>
      <c r="L105" s="135">
        <f t="shared" si="12"/>
        <v>0.69861268674022525</v>
      </c>
      <c r="M105" s="81"/>
      <c r="N105" s="81">
        <f t="shared" si="13"/>
        <v>1.8</v>
      </c>
      <c r="O105" s="81">
        <f t="shared" si="14"/>
        <v>3.6603221083455346</v>
      </c>
      <c r="P105" s="82"/>
      <c r="Q105" s="82"/>
      <c r="R105" s="83"/>
      <c r="S105" s="82"/>
      <c r="T105" s="83"/>
      <c r="U105" s="83"/>
      <c r="V105" s="83"/>
      <c r="W105" s="83"/>
      <c r="X105" s="84"/>
      <c r="Y105" s="84"/>
    </row>
    <row r="106" spans="1:240" s="74" customFormat="1" ht="11.25">
      <c r="N106" s="81"/>
      <c r="O106" s="81"/>
      <c r="P106" s="82"/>
      <c r="Q106" s="82"/>
      <c r="R106" s="83"/>
      <c r="S106" s="82"/>
      <c r="T106" s="83"/>
      <c r="U106" s="83"/>
      <c r="V106" s="83"/>
      <c r="W106" s="83"/>
      <c r="X106" s="84"/>
      <c r="Y106" s="84"/>
    </row>
    <row r="107" spans="1:240" ht="37.5" customHeight="1">
      <c r="A107" s="288" t="s">
        <v>106</v>
      </c>
      <c r="B107" s="288"/>
      <c r="C107" s="288"/>
      <c r="D107" s="288"/>
      <c r="E107" s="288"/>
      <c r="F107" s="288"/>
      <c r="G107" s="288"/>
      <c r="H107" s="288"/>
      <c r="I107" s="288"/>
      <c r="J107" s="288"/>
      <c r="K107" s="288"/>
      <c r="L107" s="288"/>
      <c r="M107" s="288"/>
      <c r="V107" s="83"/>
      <c r="W107" s="83"/>
    </row>
    <row r="108" spans="1:240">
      <c r="N108" s="198" t="s">
        <v>50</v>
      </c>
      <c r="O108" s="198" t="s">
        <v>47</v>
      </c>
      <c r="Q108" s="235" t="s">
        <v>50</v>
      </c>
      <c r="R108" s="235" t="s">
        <v>47</v>
      </c>
      <c r="T108" s="235" t="s">
        <v>51</v>
      </c>
      <c r="U108" s="235" t="s">
        <v>47</v>
      </c>
      <c r="V108" s="83"/>
      <c r="W108" s="83"/>
    </row>
    <row r="109" spans="1:240">
      <c r="A109" s="19" t="s">
        <v>60</v>
      </c>
      <c r="N109" s="235">
        <v>1.5</v>
      </c>
      <c r="O109" s="235">
        <v>1.03</v>
      </c>
      <c r="Q109" s="235">
        <f>+N109</f>
        <v>1.5</v>
      </c>
      <c r="R109" s="235">
        <v>1</v>
      </c>
      <c r="T109" s="235">
        <v>3</v>
      </c>
      <c r="U109" s="235">
        <f>+O110</f>
        <v>1.0720000000000001</v>
      </c>
      <c r="V109" s="83"/>
      <c r="W109" s="83"/>
    </row>
    <row r="110" spans="1:240">
      <c r="N110" s="236">
        <v>1.8</v>
      </c>
      <c r="O110" s="237">
        <v>1.0720000000000001</v>
      </c>
      <c r="Q110" s="236">
        <f>+N110</f>
        <v>1.8</v>
      </c>
      <c r="R110" s="237">
        <v>1.03</v>
      </c>
      <c r="T110" s="236">
        <v>3.66</v>
      </c>
      <c r="U110" s="238">
        <v>1.044</v>
      </c>
      <c r="V110" s="83"/>
      <c r="W110" s="83"/>
    </row>
    <row r="111" spans="1:240">
      <c r="A111" s="298" t="s">
        <v>115</v>
      </c>
      <c r="B111" s="298"/>
      <c r="C111" s="298"/>
      <c r="D111" s="298"/>
      <c r="E111" s="298"/>
      <c r="F111" s="298"/>
      <c r="G111" s="298"/>
      <c r="H111" s="298"/>
      <c r="I111" s="298"/>
      <c r="J111" s="298"/>
      <c r="K111" s="298"/>
      <c r="L111" s="298"/>
      <c r="M111" s="298"/>
      <c r="N111" s="235">
        <v>2</v>
      </c>
      <c r="O111" s="235">
        <v>1.1000000000000001</v>
      </c>
      <c r="Q111" s="235">
        <f>+N111</f>
        <v>2</v>
      </c>
      <c r="R111" s="235">
        <v>1.05</v>
      </c>
      <c r="T111" s="235">
        <v>4</v>
      </c>
      <c r="U111" s="235">
        <f>+R110</f>
        <v>1.03</v>
      </c>
    </row>
    <row r="112" spans="1:240">
      <c r="A112" s="298"/>
      <c r="B112" s="298"/>
      <c r="C112" s="298"/>
      <c r="D112" s="298"/>
      <c r="E112" s="298"/>
      <c r="F112" s="298"/>
      <c r="G112" s="298"/>
      <c r="H112" s="298"/>
      <c r="I112" s="298"/>
      <c r="J112" s="298"/>
      <c r="K112" s="298"/>
      <c r="L112" s="298"/>
      <c r="M112" s="298"/>
      <c r="N112" s="301" t="s">
        <v>327</v>
      </c>
      <c r="O112" s="301"/>
      <c r="Q112" s="293" t="s">
        <v>328</v>
      </c>
      <c r="R112" s="294"/>
      <c r="T112" s="293"/>
      <c r="U112" s="294"/>
    </row>
    <row r="118" spans="3:4">
      <c r="C118" s="17" t="s">
        <v>2</v>
      </c>
    </row>
    <row r="119" spans="3:4">
      <c r="C119" s="62" t="s">
        <v>61</v>
      </c>
      <c r="D119" s="17" t="s">
        <v>216</v>
      </c>
    </row>
    <row r="120" spans="3:4">
      <c r="C120" s="62"/>
      <c r="D120" s="17" t="s">
        <v>214</v>
      </c>
    </row>
    <row r="121" spans="3:4">
      <c r="C121" s="62"/>
      <c r="D121" s="17" t="s">
        <v>215</v>
      </c>
    </row>
    <row r="122" spans="3:4">
      <c r="C122" s="62" t="s">
        <v>62</v>
      </c>
      <c r="D122" s="17" t="s">
        <v>217</v>
      </c>
    </row>
    <row r="123" spans="3:4">
      <c r="C123" s="62"/>
      <c r="D123" s="17" t="s">
        <v>219</v>
      </c>
    </row>
    <row r="124" spans="3:4">
      <c r="C124" s="62"/>
      <c r="D124" s="17" t="s">
        <v>218</v>
      </c>
    </row>
    <row r="125" spans="3:4">
      <c r="C125" s="62" t="s">
        <v>63</v>
      </c>
      <c r="D125" s="17" t="s">
        <v>220</v>
      </c>
    </row>
    <row r="126" spans="3:4">
      <c r="C126" s="62" t="s">
        <v>64</v>
      </c>
      <c r="D126" s="17" t="s">
        <v>65</v>
      </c>
    </row>
    <row r="127" spans="3:4" ht="17.25" customHeight="1">
      <c r="C127" s="62"/>
      <c r="D127" s="17" t="s">
        <v>107</v>
      </c>
    </row>
    <row r="128" spans="3:4">
      <c r="C128" s="62" t="s">
        <v>66</v>
      </c>
      <c r="D128" s="17" t="s">
        <v>221</v>
      </c>
    </row>
    <row r="129" spans="1:24">
      <c r="C129" s="62"/>
      <c r="D129" s="56"/>
    </row>
    <row r="130" spans="1:24" ht="13.5">
      <c r="D130" s="48" t="s">
        <v>108</v>
      </c>
      <c r="E130" s="49"/>
      <c r="F130" s="53">
        <f>D98/8</f>
        <v>7.4709711470795206</v>
      </c>
      <c r="G130" s="123" t="str">
        <f>E98</f>
        <v>Para tuberías PVC Novafort</v>
      </c>
      <c r="H130" s="72"/>
      <c r="I130" s="60"/>
      <c r="J130" s="72"/>
    </row>
    <row r="131" spans="1:24" ht="13.5">
      <c r="D131" s="48" t="s">
        <v>108</v>
      </c>
      <c r="E131" s="49"/>
      <c r="F131" s="53">
        <f>D100/8</f>
        <v>3.6699507389162553</v>
      </c>
      <c r="G131" s="123" t="s">
        <v>44</v>
      </c>
      <c r="H131" s="72"/>
      <c r="I131" s="60"/>
      <c r="J131" s="72"/>
    </row>
    <row r="132" spans="1:24">
      <c r="D132" s="48" t="s">
        <v>67</v>
      </c>
      <c r="E132" s="49"/>
      <c r="F132" s="53">
        <v>5</v>
      </c>
      <c r="G132" s="72" t="s">
        <v>68</v>
      </c>
      <c r="H132" s="72"/>
      <c r="I132" s="72"/>
      <c r="J132" s="72"/>
    </row>
    <row r="134" spans="1:24" s="31" customFormat="1" ht="13.5">
      <c r="B134" s="274" t="str">
        <f>B$40</f>
        <v>Pozo de</v>
      </c>
      <c r="C134" s="274" t="str">
        <f>C$40</f>
        <v>Pozo a</v>
      </c>
      <c r="D134" s="274" t="s">
        <v>130</v>
      </c>
      <c r="E134" s="274" t="s">
        <v>208</v>
      </c>
      <c r="F134" s="274" t="s">
        <v>207</v>
      </c>
      <c r="G134" s="202" t="s">
        <v>9</v>
      </c>
      <c r="H134" s="202" t="s">
        <v>45</v>
      </c>
      <c r="I134" s="274" t="s">
        <v>69</v>
      </c>
      <c r="J134" s="274" t="s">
        <v>70</v>
      </c>
      <c r="K134" s="274" t="s">
        <v>71</v>
      </c>
      <c r="L134" s="202" t="s">
        <v>229</v>
      </c>
      <c r="W134" s="17"/>
      <c r="X134" s="17"/>
    </row>
    <row r="135" spans="1:24">
      <c r="B135" s="275"/>
      <c r="C135" s="275"/>
      <c r="D135" s="275"/>
      <c r="E135" s="287"/>
      <c r="F135" s="287"/>
      <c r="G135" s="146" t="s">
        <v>16</v>
      </c>
      <c r="H135" s="147" t="s">
        <v>49</v>
      </c>
      <c r="I135" s="275"/>
      <c r="J135" s="275"/>
      <c r="K135" s="275"/>
      <c r="L135" s="203" t="s">
        <v>72</v>
      </c>
    </row>
    <row r="136" spans="1:24" s="74" customFormat="1">
      <c r="B136" s="140" t="str">
        <f t="shared" ref="B136:E137" si="15">+B104</f>
        <v>CR-17</v>
      </c>
      <c r="C136" s="140" t="str">
        <f t="shared" si="15"/>
        <v>CS-08</v>
      </c>
      <c r="D136" s="135">
        <f t="shared" si="15"/>
        <v>3</v>
      </c>
      <c r="E136" s="135">
        <f t="shared" si="15"/>
        <v>0.2732</v>
      </c>
      <c r="F136" s="135">
        <f>+G65</f>
        <v>1.7</v>
      </c>
      <c r="G136" s="135">
        <f>+F104</f>
        <v>1</v>
      </c>
      <c r="H136" s="135">
        <f>+G104</f>
        <v>30.157049610350654</v>
      </c>
      <c r="I136" s="28">
        <f t="shared" ref="I136:I137" si="16">IF(F136/E136&gt;=2,2.5,3)</f>
        <v>2.5</v>
      </c>
      <c r="J136" s="28">
        <f t="shared" ref="J136:J137" si="17">IF($F$132&lt;=F136,1-0.33*($F$132/F136),1)</f>
        <v>1</v>
      </c>
      <c r="K136" s="135">
        <f t="shared" ref="K136:K137" si="18">1/(1+4*EXP(-0.2133*F136))</f>
        <v>0.2643103532271226</v>
      </c>
      <c r="L136" s="135">
        <f>1/I136*SQRT(32*J136*K136*K104*IF(E136&lt;=0.5,$F$130,$F$131))</f>
        <v>340.74319362976109</v>
      </c>
      <c r="W136" s="76"/>
      <c r="X136" s="76"/>
    </row>
    <row r="137" spans="1:24" s="74" customFormat="1">
      <c r="B137" s="140" t="str">
        <f t="shared" si="15"/>
        <v>CS-08</v>
      </c>
      <c r="C137" s="140" t="str">
        <f t="shared" si="15"/>
        <v>78561D</v>
      </c>
      <c r="D137" s="135">
        <f t="shared" si="15"/>
        <v>5.6</v>
      </c>
      <c r="E137" s="135">
        <f t="shared" si="15"/>
        <v>0.2732</v>
      </c>
      <c r="F137" s="135">
        <f>+G66</f>
        <v>1.05</v>
      </c>
      <c r="G137" s="135">
        <f>+F105</f>
        <v>1</v>
      </c>
      <c r="H137" s="135">
        <f>+G105</f>
        <v>35.409965038064591</v>
      </c>
      <c r="I137" s="28">
        <f t="shared" si="16"/>
        <v>2.5</v>
      </c>
      <c r="J137" s="28">
        <f t="shared" si="17"/>
        <v>1</v>
      </c>
      <c r="K137" s="135">
        <f t="shared" si="18"/>
        <v>0.23824428578778512</v>
      </c>
      <c r="L137" s="135">
        <f>1/I137*SQRT(32*J137*K137*K105*IF(E137&lt;=0.5,$F$130,$F$131))</f>
        <v>323.5052615390648</v>
      </c>
      <c r="W137" s="76"/>
      <c r="X137" s="76"/>
    </row>
    <row r="138" spans="1:24" s="74" customFormat="1"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</row>
    <row r="139" spans="1:24">
      <c r="A139" s="17" t="s">
        <v>73</v>
      </c>
      <c r="H139" s="63"/>
    </row>
    <row r="140" spans="1:24">
      <c r="H140" s="63"/>
    </row>
    <row r="141" spans="1:24">
      <c r="H141" s="63"/>
    </row>
    <row r="142" spans="1:24">
      <c r="H142" s="63"/>
    </row>
    <row r="143" spans="1:24">
      <c r="H143" s="63"/>
    </row>
    <row r="144" spans="1:24">
      <c r="H144" s="63"/>
    </row>
    <row r="146" spans="1:24" s="31" customFormat="1" ht="27" customHeight="1">
      <c r="C146" s="202" t="str">
        <f>B$40</f>
        <v>Pozo de</v>
      </c>
      <c r="D146" s="202" t="str">
        <f>C$40</f>
        <v>Pozo a</v>
      </c>
      <c r="E146" s="202" t="s">
        <v>222</v>
      </c>
      <c r="F146" s="204" t="s">
        <v>204</v>
      </c>
      <c r="G146" s="202" t="s">
        <v>207</v>
      </c>
      <c r="H146" s="202" t="s">
        <v>206</v>
      </c>
      <c r="I146" s="202" t="s">
        <v>211</v>
      </c>
      <c r="J146" s="202" t="s">
        <v>230</v>
      </c>
      <c r="K146" s="202" t="s">
        <v>231</v>
      </c>
      <c r="W146" s="17"/>
      <c r="X146" s="17"/>
    </row>
    <row r="147" spans="1:24" s="74" customFormat="1">
      <c r="C147" s="135" t="str">
        <f t="shared" ref="C147:G148" si="19">+B136</f>
        <v>CR-17</v>
      </c>
      <c r="D147" s="135" t="str">
        <f t="shared" si="19"/>
        <v>CS-08</v>
      </c>
      <c r="E147" s="135">
        <f t="shared" si="19"/>
        <v>3</v>
      </c>
      <c r="F147" s="135">
        <f t="shared" si="19"/>
        <v>0.2732</v>
      </c>
      <c r="G147" s="135">
        <f t="shared" si="19"/>
        <v>1.7</v>
      </c>
      <c r="H147" s="135">
        <f>+K41</f>
        <v>9.2888000000000002</v>
      </c>
      <c r="I147" s="135">
        <f>+L65</f>
        <v>20.868249610350652</v>
      </c>
      <c r="J147" s="135">
        <f>10*IF(G147&gt;$F$132,G147-$F$132,0)+(J136*H147/F147)+I147/F147</f>
        <v>110.38451541123958</v>
      </c>
      <c r="K147" s="135" t="str">
        <f>IF(J147&lt;L136,"OK","NO CUMPLE")</f>
        <v>OK</v>
      </c>
    </row>
    <row r="148" spans="1:24" s="74" customFormat="1">
      <c r="C148" s="135" t="str">
        <f t="shared" si="19"/>
        <v>CS-08</v>
      </c>
      <c r="D148" s="135" t="str">
        <f t="shared" si="19"/>
        <v>78561D</v>
      </c>
      <c r="E148" s="135">
        <f t="shared" si="19"/>
        <v>5.6</v>
      </c>
      <c r="F148" s="135">
        <f t="shared" si="19"/>
        <v>0.2732</v>
      </c>
      <c r="G148" s="135">
        <f t="shared" si="19"/>
        <v>1.05</v>
      </c>
      <c r="H148" s="135">
        <f>+K42</f>
        <v>5.7372000000000005</v>
      </c>
      <c r="I148" s="135">
        <f>+L66</f>
        <v>29.67276503806459</v>
      </c>
      <c r="J148" s="135">
        <f>10*IF(G148&gt;$F$132,G148-$F$132,0)+(J137*H148/F148)+I148/F148</f>
        <v>129.61187788457025</v>
      </c>
      <c r="K148" s="135" t="str">
        <f>IF(J148&lt;L137,"OK","NO CUMPLE")</f>
        <v>OK</v>
      </c>
    </row>
    <row r="149" spans="1:24" s="74" customFormat="1" ht="11.25"/>
    <row r="150" spans="1:24">
      <c r="A150" s="64" t="s">
        <v>74</v>
      </c>
      <c r="B150" s="65"/>
      <c r="C150" s="65"/>
      <c r="D150" s="65"/>
      <c r="E150" s="65"/>
      <c r="F150" s="65"/>
      <c r="G150" s="65"/>
    </row>
    <row r="151" spans="1:24">
      <c r="A151" s="65"/>
      <c r="B151" s="65"/>
      <c r="C151" s="65"/>
      <c r="D151" s="65"/>
      <c r="E151" s="65"/>
      <c r="F151" s="65"/>
      <c r="G151" s="65"/>
    </row>
    <row r="152" spans="1:24">
      <c r="A152" s="65" t="s">
        <v>109</v>
      </c>
      <c r="B152" s="65"/>
      <c r="C152" s="65"/>
      <c r="D152" s="65"/>
      <c r="E152" s="65"/>
      <c r="F152" s="65"/>
      <c r="G152" s="65"/>
    </row>
    <row r="153" spans="1:24">
      <c r="A153" s="65"/>
      <c r="B153" s="65"/>
      <c r="C153" s="65"/>
      <c r="D153" s="65"/>
      <c r="E153" s="65"/>
      <c r="F153" s="65"/>
      <c r="G153" s="65"/>
    </row>
    <row r="154" spans="1:24">
      <c r="A154" s="1"/>
      <c r="B154" s="65"/>
      <c r="C154" s="65"/>
      <c r="D154" s="65"/>
      <c r="E154" s="65"/>
      <c r="F154" s="65"/>
      <c r="G154" s="65"/>
    </row>
    <row r="155" spans="1:24">
      <c r="A155" s="65"/>
      <c r="B155" s="65"/>
      <c r="C155" s="65"/>
      <c r="D155" s="65"/>
      <c r="E155" s="65"/>
      <c r="F155" s="65"/>
      <c r="G155" s="65"/>
    </row>
    <row r="156" spans="1:24">
      <c r="A156" s="65"/>
      <c r="B156" s="65"/>
      <c r="C156" s="65"/>
      <c r="D156" s="65"/>
      <c r="E156" s="65"/>
      <c r="F156" s="65"/>
      <c r="G156" s="65"/>
    </row>
    <row r="157" spans="1:24">
      <c r="A157" s="65" t="s">
        <v>2</v>
      </c>
      <c r="B157" s="65"/>
      <c r="C157" s="65"/>
      <c r="D157" s="65"/>
      <c r="E157" s="65"/>
      <c r="F157" s="65"/>
      <c r="G157" s="65"/>
    </row>
    <row r="158" spans="1:24" ht="13.5">
      <c r="A158" s="65"/>
      <c r="B158" s="66" t="s">
        <v>110</v>
      </c>
      <c r="C158" s="67" t="s">
        <v>75</v>
      </c>
      <c r="D158" s="67"/>
      <c r="E158" s="65"/>
      <c r="F158" s="65"/>
      <c r="G158" s="65"/>
    </row>
    <row r="159" spans="1:24">
      <c r="A159" s="65"/>
      <c r="B159" s="66" t="s">
        <v>26</v>
      </c>
      <c r="C159" s="67" t="s">
        <v>76</v>
      </c>
      <c r="D159" s="65"/>
      <c r="E159" s="65"/>
      <c r="F159" s="65"/>
      <c r="G159" s="65"/>
    </row>
    <row r="160" spans="1:24" ht="13.5">
      <c r="A160" s="65"/>
      <c r="B160" s="66" t="s">
        <v>77</v>
      </c>
      <c r="C160" s="65" t="s">
        <v>111</v>
      </c>
      <c r="D160" s="65"/>
      <c r="E160" s="65"/>
      <c r="F160" s="65"/>
      <c r="G160" s="65"/>
    </row>
    <row r="161" spans="1:22">
      <c r="A161" s="65"/>
      <c r="B161" s="65"/>
      <c r="C161" s="65"/>
      <c r="D161" s="65"/>
      <c r="E161" s="65"/>
      <c r="F161" s="65"/>
      <c r="G161" s="65"/>
    </row>
    <row r="162" spans="1:22" ht="14.25">
      <c r="A162" s="65" t="s">
        <v>112</v>
      </c>
      <c r="B162" s="65"/>
      <c r="C162" s="65"/>
      <c r="D162" s="65"/>
      <c r="E162" s="65"/>
      <c r="F162" s="65"/>
      <c r="G162" s="65"/>
    </row>
    <row r="163" spans="1:22">
      <c r="B163" s="65"/>
      <c r="C163" s="65"/>
      <c r="D163" s="65"/>
      <c r="E163" s="65"/>
      <c r="F163" s="65"/>
      <c r="G163" s="65"/>
      <c r="H163" s="65"/>
    </row>
    <row r="164" spans="1:22" ht="25.5">
      <c r="D164" s="149" t="str">
        <f>B40</f>
        <v>Pozo de</v>
      </c>
      <c r="E164" s="149" t="str">
        <f>C40</f>
        <v>Pozo a</v>
      </c>
      <c r="F164" s="202" t="str">
        <f>E40</f>
        <v>Diám Nominal (in)</v>
      </c>
      <c r="G164" s="202" t="s">
        <v>208</v>
      </c>
      <c r="H164" s="149" t="s">
        <v>212</v>
      </c>
      <c r="I164" s="150" t="s">
        <v>232</v>
      </c>
      <c r="J164" s="150" t="s">
        <v>233</v>
      </c>
      <c r="O164" s="199"/>
      <c r="P164" s="199"/>
      <c r="Q164" s="199"/>
      <c r="R164" s="199"/>
      <c r="S164" s="199"/>
      <c r="T164" s="199"/>
      <c r="U164" s="199"/>
      <c r="V164" s="199"/>
    </row>
    <row r="165" spans="1:22" s="74" customFormat="1">
      <c r="D165" s="151" t="str">
        <f>+C147</f>
        <v>CR-17</v>
      </c>
      <c r="E165" s="151" t="str">
        <f>+D147</f>
        <v>CS-08</v>
      </c>
      <c r="F165" s="151">
        <f>+E41</f>
        <v>10</v>
      </c>
      <c r="G165" s="152">
        <f>+F147</f>
        <v>0.2732</v>
      </c>
      <c r="H165" s="152">
        <f>+I147+H147</f>
        <v>30.157049610350654</v>
      </c>
      <c r="I165" s="152">
        <f t="shared" ref="I165:I166" si="20">2*H165/(PI()*G165)</f>
        <v>70.272965074009122</v>
      </c>
      <c r="J165" s="152" t="str">
        <f t="shared" ref="J165:J166" si="21">IF(I165&lt;67500,"OK","Falta")</f>
        <v>OK</v>
      </c>
    </row>
    <row r="166" spans="1:22" s="74" customFormat="1">
      <c r="D166" s="151" t="str">
        <f>+C148</f>
        <v>CS-08</v>
      </c>
      <c r="E166" s="151" t="str">
        <f>+D148</f>
        <v>78561D</v>
      </c>
      <c r="F166" s="151">
        <f>+E42</f>
        <v>10</v>
      </c>
      <c r="G166" s="152">
        <f>+F148</f>
        <v>0.2732</v>
      </c>
      <c r="H166" s="152">
        <f>+I148+H148</f>
        <v>35.409965038064591</v>
      </c>
      <c r="I166" s="152">
        <f t="shared" si="20"/>
        <v>82.513484195009866</v>
      </c>
      <c r="J166" s="152" t="str">
        <f t="shared" si="21"/>
        <v>OK</v>
      </c>
    </row>
    <row r="167" spans="1:22" s="74" customFormat="1">
      <c r="D167" s="218"/>
      <c r="E167" s="218"/>
      <c r="F167" s="218"/>
      <c r="G167" s="219"/>
      <c r="H167" s="219"/>
      <c r="I167" s="219"/>
      <c r="J167" s="219"/>
    </row>
    <row r="168" spans="1:22" s="74" customFormat="1">
      <c r="A168" s="64" t="s">
        <v>240</v>
      </c>
    </row>
    <row r="169" spans="1:22" s="74" customFormat="1">
      <c r="A169" s="65"/>
    </row>
    <row r="170" spans="1:22" s="74" customFormat="1" ht="35.25" customHeight="1">
      <c r="A170" s="292" t="s">
        <v>379</v>
      </c>
      <c r="B170" s="292"/>
      <c r="C170" s="292"/>
      <c r="D170" s="292"/>
      <c r="E170" s="292"/>
      <c r="F170" s="292"/>
      <c r="G170" s="292"/>
      <c r="H170" s="292"/>
      <c r="I170" s="292"/>
      <c r="J170" s="292"/>
      <c r="K170" s="292"/>
      <c r="L170" s="292"/>
      <c r="M170" s="292"/>
    </row>
    <row r="171" spans="1:22" s="74" customFormat="1">
      <c r="A171" s="65"/>
    </row>
    <row r="172" spans="1:22" s="74" customFormat="1" ht="11.25" customHeight="1">
      <c r="D172" s="286" t="s">
        <v>128</v>
      </c>
      <c r="E172" s="286" t="s">
        <v>129</v>
      </c>
      <c r="F172" s="286" t="s">
        <v>134</v>
      </c>
      <c r="G172" s="279" t="s">
        <v>191</v>
      </c>
      <c r="H172" s="299" t="s">
        <v>135</v>
      </c>
      <c r="I172" s="286" t="s">
        <v>131</v>
      </c>
    </row>
    <row r="173" spans="1:22" s="74" customFormat="1" ht="11.25" customHeight="1">
      <c r="D173" s="287"/>
      <c r="E173" s="287"/>
      <c r="F173" s="287"/>
      <c r="G173" s="279"/>
      <c r="H173" s="300"/>
      <c r="I173" s="287"/>
    </row>
    <row r="174" spans="1:22" s="74" customFormat="1">
      <c r="D174" s="90" t="str">
        <f>+B65</f>
        <v>CR-17</v>
      </c>
      <c r="E174" s="90" t="str">
        <f>+C65</f>
        <v>CS-08</v>
      </c>
      <c r="F174" s="21">
        <f>+G65</f>
        <v>1.7</v>
      </c>
      <c r="G174" s="21">
        <f>+P41</f>
        <v>2.0731999999999999</v>
      </c>
      <c r="H174" s="153" t="str">
        <f t="shared" ref="H174:H175" si="22">+IF(G174&gt;0.5,"NO","SI")</f>
        <v>NO</v>
      </c>
      <c r="I174" s="198" t="s">
        <v>380</v>
      </c>
    </row>
    <row r="175" spans="1:22" s="74" customFormat="1">
      <c r="D175" s="90" t="str">
        <f>+B66</f>
        <v>CS-08</v>
      </c>
      <c r="E175" s="90" t="str">
        <f>+C66</f>
        <v>78561D</v>
      </c>
      <c r="F175" s="21">
        <f>+G66</f>
        <v>1.05</v>
      </c>
      <c r="G175" s="21">
        <f>+P42</f>
        <v>1.4232</v>
      </c>
      <c r="H175" s="153" t="str">
        <f t="shared" si="22"/>
        <v>NO</v>
      </c>
      <c r="I175" s="248" t="s">
        <v>380</v>
      </c>
    </row>
    <row r="177" spans="1:13">
      <c r="A177" s="64" t="s">
        <v>398</v>
      </c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</row>
    <row r="178" spans="1:13">
      <c r="A178" s="65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</row>
    <row r="179" spans="1:13">
      <c r="A179" s="17" t="s">
        <v>392</v>
      </c>
    </row>
    <row r="203" spans="2:21">
      <c r="B203" s="279" t="s">
        <v>128</v>
      </c>
      <c r="C203" s="279" t="s">
        <v>129</v>
      </c>
      <c r="D203" s="317" t="s">
        <v>48</v>
      </c>
      <c r="E203" s="317" t="s">
        <v>16</v>
      </c>
      <c r="F203" s="317" t="s">
        <v>134</v>
      </c>
      <c r="G203" s="279" t="s">
        <v>191</v>
      </c>
      <c r="H203" s="279" t="s">
        <v>393</v>
      </c>
      <c r="I203" s="279" t="s">
        <v>394</v>
      </c>
      <c r="J203" s="279" t="s">
        <v>395</v>
      </c>
      <c r="K203" s="279" t="s">
        <v>396</v>
      </c>
      <c r="L203" s="279" t="s">
        <v>397</v>
      </c>
    </row>
    <row r="204" spans="2:21">
      <c r="B204" s="279"/>
      <c r="C204" s="279"/>
      <c r="D204" s="317"/>
      <c r="E204" s="317"/>
      <c r="F204" s="317"/>
      <c r="G204" s="279"/>
      <c r="H204" s="279"/>
      <c r="I204" s="279"/>
      <c r="J204" s="279"/>
      <c r="K204" s="279"/>
      <c r="L204" s="279"/>
    </row>
    <row r="205" spans="2:21">
      <c r="B205" s="90" t="str">
        <f>+D174</f>
        <v>CR-17</v>
      </c>
      <c r="C205" s="90" t="str">
        <f>+E174</f>
        <v>CS-08</v>
      </c>
      <c r="D205" s="21">
        <f>+G165</f>
        <v>0.2732</v>
      </c>
      <c r="E205" s="21">
        <f>+G136</f>
        <v>1</v>
      </c>
      <c r="F205" s="21">
        <f>+F174</f>
        <v>1.7</v>
      </c>
      <c r="G205" s="21">
        <f>+G174</f>
        <v>2.0731999999999999</v>
      </c>
      <c r="H205" s="21">
        <v>0.1</v>
      </c>
      <c r="I205" s="21">
        <f t="shared" ref="I205:I206" si="23">+D205*0.6</f>
        <v>0.16391999999999998</v>
      </c>
      <c r="J205" s="21">
        <f t="shared" ref="J205:J206" si="24">(0.4*D205)+0.3</f>
        <v>0.40927999999999998</v>
      </c>
      <c r="K205" s="21">
        <f t="shared" ref="K205:K206" si="25">G205-J205-I205-H205-L205</f>
        <v>0.89999999999999991</v>
      </c>
      <c r="L205" s="21">
        <v>0.5</v>
      </c>
    </row>
    <row r="206" spans="2:21">
      <c r="B206" s="90" t="str">
        <f>+D175</f>
        <v>CS-08</v>
      </c>
      <c r="C206" s="90" t="str">
        <f>+E175</f>
        <v>78561D</v>
      </c>
      <c r="D206" s="21">
        <f>+G166</f>
        <v>0.2732</v>
      </c>
      <c r="E206" s="21">
        <f>+G137</f>
        <v>1</v>
      </c>
      <c r="F206" s="21">
        <f>+F175</f>
        <v>1.05</v>
      </c>
      <c r="G206" s="21">
        <f>+G175</f>
        <v>1.4232</v>
      </c>
      <c r="H206" s="21">
        <v>0.1</v>
      </c>
      <c r="I206" s="21">
        <f t="shared" si="23"/>
        <v>0.16391999999999998</v>
      </c>
      <c r="J206" s="21">
        <f t="shared" si="24"/>
        <v>0.40927999999999998</v>
      </c>
      <c r="K206" s="21">
        <f t="shared" si="25"/>
        <v>0.25000000000000022</v>
      </c>
      <c r="L206" s="21">
        <v>0.5</v>
      </c>
    </row>
    <row r="208" spans="2:21">
      <c r="N208" s="72"/>
      <c r="O208" s="72"/>
      <c r="P208" s="72"/>
      <c r="Q208" s="72"/>
      <c r="R208" s="72"/>
      <c r="S208" s="72"/>
      <c r="T208" s="72"/>
      <c r="U208" s="72"/>
    </row>
    <row r="209" spans="10:13">
      <c r="J209" s="199"/>
      <c r="K209" s="199"/>
      <c r="L209" s="199"/>
      <c r="M209" s="199"/>
    </row>
    <row r="210" spans="10:13">
      <c r="J210" s="199"/>
      <c r="K210" s="199"/>
      <c r="L210" s="199"/>
      <c r="M210" s="199"/>
    </row>
    <row r="213" spans="10:13">
      <c r="K213" s="17" t="s">
        <v>136</v>
      </c>
    </row>
  </sheetData>
  <autoFilter ref="A40:M40" xr:uid="{00000000-0001-0000-0400-000000000000}"/>
  <mergeCells count="37">
    <mergeCell ref="A170:M170"/>
    <mergeCell ref="D172:D173"/>
    <mergeCell ref="E172:E173"/>
    <mergeCell ref="F172:F173"/>
    <mergeCell ref="G172:G173"/>
    <mergeCell ref="H172:H173"/>
    <mergeCell ref="I172:I173"/>
    <mergeCell ref="T83:AA83"/>
    <mergeCell ref="A107:M107"/>
    <mergeCell ref="A111:M112"/>
    <mergeCell ref="B134:B135"/>
    <mergeCell ref="C134:C135"/>
    <mergeCell ref="D134:D135"/>
    <mergeCell ref="E134:E135"/>
    <mergeCell ref="F134:F135"/>
    <mergeCell ref="N112:O112"/>
    <mergeCell ref="Q112:R112"/>
    <mergeCell ref="T112:U112"/>
    <mergeCell ref="I134:I135"/>
    <mergeCell ref="J134:J135"/>
    <mergeCell ref="K134:K135"/>
    <mergeCell ref="A2:M2"/>
    <mergeCell ref="A3:M3"/>
    <mergeCell ref="C60:C62"/>
    <mergeCell ref="A70:M71"/>
    <mergeCell ref="S83:S84"/>
    <mergeCell ref="B203:B204"/>
    <mergeCell ref="C203:C204"/>
    <mergeCell ref="D203:D204"/>
    <mergeCell ref="E203:E204"/>
    <mergeCell ref="F203:F204"/>
    <mergeCell ref="L203:L204"/>
    <mergeCell ref="G203:G204"/>
    <mergeCell ref="H203:H204"/>
    <mergeCell ref="I203:I204"/>
    <mergeCell ref="J203:J204"/>
    <mergeCell ref="K203:K204"/>
  </mergeCells>
  <conditionalFormatting sqref="L104:L105">
    <cfRule type="cellIs" dxfId="0" priority="1" stopIfTrue="1" operator="greaterThanOrEqual">
      <formula>5</formula>
    </cfRule>
  </conditionalFormatting>
  <printOptions horizontalCentered="1"/>
  <pageMargins left="0.78740157480314965" right="0.78740157480314965" top="1.1811023622047245" bottom="1.1811023622047245" header="0.78740157480314965" footer="0.78740157480314965"/>
  <pageSetup scale="61" fitToHeight="0" orientation="portrait" r:id="rId1"/>
  <rowBreaks count="2" manualBreakCount="2">
    <brk id="67" max="12" man="1"/>
    <brk id="138" max="12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070BD-178C-40ED-B759-E3D2C5AF9BC8}">
  <dimension ref="B2:W89"/>
  <sheetViews>
    <sheetView zoomScaleNormal="100" workbookViewId="0">
      <selection activeCell="A2" sqref="A2:XFD3"/>
    </sheetView>
  </sheetViews>
  <sheetFormatPr baseColWidth="10" defaultRowHeight="12.75"/>
  <cols>
    <col min="5" max="5" width="13.5703125" bestFit="1" customWidth="1"/>
    <col min="6" max="6" width="13.85546875" bestFit="1" customWidth="1"/>
    <col min="8" max="8" width="16.28515625" customWidth="1"/>
    <col min="9" max="9" width="17" customWidth="1"/>
    <col min="11" max="11" width="17.7109375" style="118" customWidth="1"/>
    <col min="17" max="17" width="13.85546875" bestFit="1" customWidth="1"/>
  </cols>
  <sheetData>
    <row r="2" spans="2:22">
      <c r="B2" s="189" t="s">
        <v>241</v>
      </c>
      <c r="C2" s="189" t="s">
        <v>16</v>
      </c>
      <c r="E2" s="189" t="s">
        <v>242</v>
      </c>
      <c r="F2" s="189" t="s">
        <v>16</v>
      </c>
      <c r="I2" s="325" t="s">
        <v>193</v>
      </c>
      <c r="J2" s="326"/>
    </row>
    <row r="3" spans="2:22">
      <c r="B3" s="166" t="s">
        <v>176</v>
      </c>
      <c r="C3" s="166" t="s">
        <v>181</v>
      </c>
      <c r="E3" s="166" t="s">
        <v>186</v>
      </c>
      <c r="F3" s="166" t="s">
        <v>190</v>
      </c>
      <c r="I3" s="190" t="s">
        <v>194</v>
      </c>
      <c r="J3" s="191">
        <v>1</v>
      </c>
    </row>
    <row r="4" spans="2:22">
      <c r="B4" s="166" t="s">
        <v>177</v>
      </c>
      <c r="C4" s="166" t="s">
        <v>182</v>
      </c>
      <c r="E4" s="166" t="s">
        <v>187</v>
      </c>
      <c r="F4" s="167">
        <v>0.8</v>
      </c>
      <c r="I4" s="190" t="s">
        <v>195</v>
      </c>
      <c r="J4" s="191">
        <v>1</v>
      </c>
    </row>
    <row r="5" spans="2:22">
      <c r="B5" s="166" t="s">
        <v>178</v>
      </c>
      <c r="C5" s="166" t="s">
        <v>183</v>
      </c>
      <c r="E5" s="166" t="s">
        <v>188</v>
      </c>
      <c r="F5" s="167">
        <v>0.9</v>
      </c>
      <c r="I5" s="190" t="s">
        <v>196</v>
      </c>
      <c r="J5" s="188">
        <v>0.5</v>
      </c>
    </row>
    <row r="6" spans="2:22">
      <c r="B6" s="166" t="s">
        <v>179</v>
      </c>
      <c r="C6" s="166" t="s">
        <v>184</v>
      </c>
      <c r="E6" s="166" t="s">
        <v>189</v>
      </c>
      <c r="F6" s="167">
        <v>1</v>
      </c>
    </row>
    <row r="7" spans="2:22">
      <c r="B7" s="166" t="s">
        <v>180</v>
      </c>
      <c r="C7" s="166" t="s">
        <v>185</v>
      </c>
      <c r="E7" s="86"/>
      <c r="F7" s="86"/>
    </row>
    <row r="10" spans="2:22">
      <c r="M10" s="320" t="s">
        <v>245</v>
      </c>
      <c r="N10" s="320"/>
      <c r="O10" s="320"/>
      <c r="P10" s="320"/>
      <c r="Q10" s="320"/>
      <c r="R10" s="320"/>
      <c r="S10" s="320"/>
      <c r="T10" s="320"/>
      <c r="U10" s="320"/>
      <c r="V10" s="320"/>
    </row>
    <row r="11" spans="2:22">
      <c r="B11" s="329" t="s">
        <v>137</v>
      </c>
      <c r="C11" s="119" t="s">
        <v>6</v>
      </c>
      <c r="D11" s="119" t="s">
        <v>6</v>
      </c>
      <c r="E11" s="119" t="s">
        <v>7</v>
      </c>
      <c r="F11" s="119" t="s">
        <v>113</v>
      </c>
      <c r="G11" s="119" t="s">
        <v>114</v>
      </c>
      <c r="H11" s="331" t="s">
        <v>191</v>
      </c>
      <c r="I11" s="328" t="s">
        <v>244</v>
      </c>
      <c r="J11" s="327" t="s">
        <v>192</v>
      </c>
      <c r="K11" s="328" t="s">
        <v>243</v>
      </c>
      <c r="M11" s="329" t="s">
        <v>137</v>
      </c>
      <c r="N11" s="119" t="s">
        <v>6</v>
      </c>
      <c r="O11" s="119" t="s">
        <v>6</v>
      </c>
      <c r="P11" s="119" t="s">
        <v>7</v>
      </c>
      <c r="Q11" s="119" t="s">
        <v>113</v>
      </c>
      <c r="R11" s="119" t="s">
        <v>114</v>
      </c>
      <c r="S11" s="331" t="s">
        <v>191</v>
      </c>
      <c r="T11" s="328" t="s">
        <v>244</v>
      </c>
      <c r="U11" s="327" t="s">
        <v>192</v>
      </c>
      <c r="V11" s="328" t="s">
        <v>243</v>
      </c>
    </row>
    <row r="12" spans="2:22">
      <c r="B12" s="330"/>
      <c r="C12" s="120" t="s">
        <v>13</v>
      </c>
      <c r="D12" s="120" t="s">
        <v>14</v>
      </c>
      <c r="E12" s="120" t="s">
        <v>15</v>
      </c>
      <c r="F12" s="120" t="s">
        <v>124</v>
      </c>
      <c r="G12" s="120" t="s">
        <v>15</v>
      </c>
      <c r="H12" s="332"/>
      <c r="I12" s="328"/>
      <c r="J12" s="327"/>
      <c r="K12" s="328"/>
      <c r="M12" s="330"/>
      <c r="N12" s="120" t="s">
        <v>13</v>
      </c>
      <c r="O12" s="120" t="s">
        <v>14</v>
      </c>
      <c r="P12" s="120" t="s">
        <v>15</v>
      </c>
      <c r="Q12" s="120" t="s">
        <v>124</v>
      </c>
      <c r="R12" s="120" t="s">
        <v>15</v>
      </c>
      <c r="S12" s="332"/>
      <c r="T12" s="328"/>
      <c r="U12" s="327"/>
      <c r="V12" s="328"/>
    </row>
    <row r="13" spans="2:22">
      <c r="B13" s="339" t="s">
        <v>171</v>
      </c>
      <c r="C13" s="170" t="s">
        <v>138</v>
      </c>
      <c r="D13" s="170" t="s">
        <v>139</v>
      </c>
      <c r="E13" s="171">
        <v>38.74</v>
      </c>
      <c r="F13" s="171">
        <v>609.59999999999991</v>
      </c>
      <c r="G13" s="171">
        <v>0.625</v>
      </c>
      <c r="H13" s="172">
        <v>3.11</v>
      </c>
      <c r="I13" s="172">
        <f>IF(F13&lt;225,(G13+0.4),IF(F13&lt;350,(G13+0.5),IF(F13&lt;700,(G13+0.7),IF(F13&lt;1200,(G13+0.85),1200))))</f>
        <v>1.325</v>
      </c>
      <c r="J13" s="193">
        <f>IF(H13&lt;1,"No hay",IF(H13&lt;1.75,0.8,IF(H13&lt;4,0.9,1)))</f>
        <v>0.9</v>
      </c>
      <c r="K13" s="172">
        <f>+IF(I13&gt;J13,I13,J13)</f>
        <v>1.325</v>
      </c>
      <c r="M13" s="333" t="s">
        <v>283</v>
      </c>
      <c r="N13" s="170" t="s">
        <v>246</v>
      </c>
      <c r="O13" s="170" t="s">
        <v>139</v>
      </c>
      <c r="P13" s="171">
        <v>6.2</v>
      </c>
      <c r="Q13" s="171">
        <v>250</v>
      </c>
      <c r="R13" s="171">
        <v>0.2732</v>
      </c>
      <c r="S13" s="172">
        <v>1.5432000000000001</v>
      </c>
      <c r="T13" s="172">
        <f>IF(Q13&lt;225,(R13+0.4),IF(Q13&lt;350,(R13+0.5),IF(Q13&lt;700,(R13+0.7),IF(Q13&lt;1200,(R13+0.85),1200))))</f>
        <v>0.7732</v>
      </c>
      <c r="U13" s="193">
        <f>IF(S13&lt;1,"No hay",IF(S13&lt;1.75,0.8,IF(S13&lt;4,0.9,1)))</f>
        <v>0.8</v>
      </c>
      <c r="V13" s="172">
        <v>1</v>
      </c>
    </row>
    <row r="14" spans="2:22">
      <c r="B14" s="339"/>
      <c r="C14" s="173" t="s">
        <v>139</v>
      </c>
      <c r="D14" s="173" t="s">
        <v>140</v>
      </c>
      <c r="E14" s="172">
        <v>54.97</v>
      </c>
      <c r="F14" s="172">
        <v>609.59999999999991</v>
      </c>
      <c r="G14" s="172">
        <v>0.625</v>
      </c>
      <c r="H14" s="172">
        <v>2.8000000000000003</v>
      </c>
      <c r="I14" s="172">
        <f t="shared" ref="I14:I58" si="0">IF(F14&lt;225,(G14+0.4),IF(F14&lt;350,(G14+0.5),IF(F14&lt;700,(G14+0.7),IF(F14&lt;1200,(G14+0.85),1200))))</f>
        <v>1.325</v>
      </c>
      <c r="J14" s="193">
        <f t="shared" ref="J14:J58" si="1">IF(H14&lt;1,"No hay",IF(H14&lt;1.75,0.8,IF(H14&lt;4,0.9,1)))</f>
        <v>0.9</v>
      </c>
      <c r="K14" s="172">
        <f t="shared" ref="K14:K36" si="2">+IF(I14&gt;J14,I14,J14)</f>
        <v>1.325</v>
      </c>
      <c r="M14" s="334"/>
      <c r="N14" s="192" t="s">
        <v>247</v>
      </c>
      <c r="O14" s="192">
        <v>117578</v>
      </c>
      <c r="P14" s="172">
        <v>7.5</v>
      </c>
      <c r="Q14" s="172">
        <v>250</v>
      </c>
      <c r="R14" s="172">
        <v>0.2732</v>
      </c>
      <c r="S14" s="172">
        <v>1.5632000000000001</v>
      </c>
      <c r="T14" s="172">
        <f t="shared" ref="T14:T54" si="3">IF(Q14&lt;225,(R14+0.4),IF(Q14&lt;350,(R14+0.5),IF(Q14&lt;700,(R14+0.7),IF(Q14&lt;1200,(R14+0.85),1200))))</f>
        <v>0.7732</v>
      </c>
      <c r="U14" s="193">
        <f t="shared" ref="U14:U54" si="4">IF(S14&lt;1,"No hay",IF(S14&lt;1.75,0.8,IF(S14&lt;4,0.9,1)))</f>
        <v>0.8</v>
      </c>
      <c r="V14" s="172">
        <v>1</v>
      </c>
    </row>
    <row r="15" spans="2:22">
      <c r="B15" s="339"/>
      <c r="C15" s="173" t="s">
        <v>140</v>
      </c>
      <c r="D15" s="173" t="s">
        <v>141</v>
      </c>
      <c r="E15" s="172">
        <v>7.6</v>
      </c>
      <c r="F15" s="172">
        <v>609.59999999999991</v>
      </c>
      <c r="G15" s="172">
        <v>0.625</v>
      </c>
      <c r="H15" s="172">
        <v>2.25</v>
      </c>
      <c r="I15" s="172">
        <f t="shared" si="0"/>
        <v>1.325</v>
      </c>
      <c r="J15" s="193">
        <f t="shared" si="1"/>
        <v>0.9</v>
      </c>
      <c r="K15" s="172">
        <f t="shared" si="2"/>
        <v>1.325</v>
      </c>
      <c r="M15" s="334"/>
      <c r="N15" s="192" t="s">
        <v>248</v>
      </c>
      <c r="O15" s="192" t="s">
        <v>143</v>
      </c>
      <c r="P15" s="172">
        <v>4</v>
      </c>
      <c r="Q15" s="172">
        <v>250</v>
      </c>
      <c r="R15" s="172">
        <v>0.2732</v>
      </c>
      <c r="S15" s="172">
        <v>1.4432</v>
      </c>
      <c r="T15" s="172">
        <f t="shared" si="3"/>
        <v>0.7732</v>
      </c>
      <c r="U15" s="193">
        <f t="shared" si="4"/>
        <v>0.8</v>
      </c>
      <c r="V15" s="172">
        <v>1</v>
      </c>
    </row>
    <row r="16" spans="2:22">
      <c r="B16" s="339"/>
      <c r="C16" s="173" t="s">
        <v>141</v>
      </c>
      <c r="D16" s="173">
        <v>117577</v>
      </c>
      <c r="E16" s="172">
        <v>29.84</v>
      </c>
      <c r="F16" s="172">
        <v>609.59999999999991</v>
      </c>
      <c r="G16" s="172">
        <v>0.625</v>
      </c>
      <c r="H16" s="172">
        <v>2.7</v>
      </c>
      <c r="I16" s="172">
        <f t="shared" si="0"/>
        <v>1.325</v>
      </c>
      <c r="J16" s="193">
        <f t="shared" si="1"/>
        <v>0.9</v>
      </c>
      <c r="K16" s="172">
        <f t="shared" si="2"/>
        <v>1.325</v>
      </c>
      <c r="M16" s="334"/>
      <c r="N16" s="192" t="s">
        <v>249</v>
      </c>
      <c r="O16" s="192" t="s">
        <v>143</v>
      </c>
      <c r="P16" s="172">
        <v>5.9</v>
      </c>
      <c r="Q16" s="172">
        <v>250</v>
      </c>
      <c r="R16" s="172">
        <v>0.2732</v>
      </c>
      <c r="S16" s="172">
        <v>1.4432</v>
      </c>
      <c r="T16" s="172">
        <f t="shared" si="3"/>
        <v>0.7732</v>
      </c>
      <c r="U16" s="193">
        <f t="shared" si="4"/>
        <v>0.8</v>
      </c>
      <c r="V16" s="172">
        <v>1</v>
      </c>
    </row>
    <row r="17" spans="2:22">
      <c r="B17" s="339"/>
      <c r="C17" s="173" t="s">
        <v>142</v>
      </c>
      <c r="D17" s="173" t="s">
        <v>141</v>
      </c>
      <c r="E17" s="172">
        <v>6.02</v>
      </c>
      <c r="F17" s="172">
        <v>254</v>
      </c>
      <c r="G17" s="172">
        <v>0.32400000000000001</v>
      </c>
      <c r="H17" s="172">
        <v>1.77</v>
      </c>
      <c r="I17" s="172">
        <f t="shared" si="0"/>
        <v>0.82400000000000007</v>
      </c>
      <c r="J17" s="193">
        <f t="shared" si="1"/>
        <v>0.9</v>
      </c>
      <c r="K17" s="172">
        <v>1</v>
      </c>
      <c r="M17" s="335"/>
      <c r="N17" s="192" t="s">
        <v>250</v>
      </c>
      <c r="O17" s="192" t="s">
        <v>144</v>
      </c>
      <c r="P17" s="172">
        <v>5.6</v>
      </c>
      <c r="Q17" s="172">
        <v>250</v>
      </c>
      <c r="R17" s="172">
        <v>0.2732</v>
      </c>
      <c r="S17" s="172">
        <v>1.5632000000000001</v>
      </c>
      <c r="T17" s="172">
        <f t="shared" si="3"/>
        <v>0.7732</v>
      </c>
      <c r="U17" s="193">
        <f t="shared" si="4"/>
        <v>0.8</v>
      </c>
      <c r="V17" s="172">
        <v>1</v>
      </c>
    </row>
    <row r="18" spans="2:22">
      <c r="B18" s="339"/>
      <c r="C18" s="173" t="s">
        <v>143</v>
      </c>
      <c r="D18" s="173" t="s">
        <v>144</v>
      </c>
      <c r="E18" s="172">
        <v>21.39</v>
      </c>
      <c r="F18" s="172">
        <v>254</v>
      </c>
      <c r="G18" s="172">
        <v>0.32400000000000001</v>
      </c>
      <c r="H18" s="172">
        <v>1.37</v>
      </c>
      <c r="I18" s="172">
        <f t="shared" si="0"/>
        <v>0.82400000000000007</v>
      </c>
      <c r="J18" s="193">
        <f t="shared" si="1"/>
        <v>0.8</v>
      </c>
      <c r="K18" s="172">
        <v>1</v>
      </c>
      <c r="M18" s="336" t="s">
        <v>284</v>
      </c>
      <c r="N18" s="208" t="s">
        <v>251</v>
      </c>
      <c r="O18" s="208">
        <v>77724</v>
      </c>
      <c r="P18" s="209">
        <v>7.7</v>
      </c>
      <c r="Q18" s="209">
        <v>250</v>
      </c>
      <c r="R18" s="209">
        <v>0.27</v>
      </c>
      <c r="S18" s="209">
        <v>1.3732000000000002</v>
      </c>
      <c r="T18" s="209">
        <f t="shared" si="3"/>
        <v>0.77</v>
      </c>
      <c r="U18" s="210">
        <f t="shared" si="4"/>
        <v>0.8</v>
      </c>
      <c r="V18" s="209">
        <v>1</v>
      </c>
    </row>
    <row r="19" spans="2:22">
      <c r="B19" s="339"/>
      <c r="C19" s="173" t="s">
        <v>144</v>
      </c>
      <c r="D19" s="173">
        <v>117576</v>
      </c>
      <c r="E19" s="172">
        <v>8.1999999999999993</v>
      </c>
      <c r="F19" s="172">
        <v>254</v>
      </c>
      <c r="G19" s="172">
        <v>0.32400000000000001</v>
      </c>
      <c r="H19" s="172">
        <v>1.27</v>
      </c>
      <c r="I19" s="172">
        <f t="shared" si="0"/>
        <v>0.82400000000000007</v>
      </c>
      <c r="J19" s="193">
        <f t="shared" si="1"/>
        <v>0.8</v>
      </c>
      <c r="K19" s="172">
        <v>1</v>
      </c>
      <c r="M19" s="337"/>
      <c r="N19" s="208" t="s">
        <v>252</v>
      </c>
      <c r="O19" s="208">
        <v>77724</v>
      </c>
      <c r="P19" s="209">
        <v>9</v>
      </c>
      <c r="Q19" s="209">
        <v>250</v>
      </c>
      <c r="R19" s="209">
        <v>0.27</v>
      </c>
      <c r="S19" s="209">
        <v>1.3732000000000002</v>
      </c>
      <c r="T19" s="209">
        <f t="shared" si="3"/>
        <v>0.77</v>
      </c>
      <c r="U19" s="210">
        <f t="shared" si="4"/>
        <v>0.8</v>
      </c>
      <c r="V19" s="209">
        <v>1</v>
      </c>
    </row>
    <row r="20" spans="2:22">
      <c r="B20" s="340" t="s">
        <v>172</v>
      </c>
      <c r="C20" s="174">
        <v>130362</v>
      </c>
      <c r="D20" s="174" t="s">
        <v>145</v>
      </c>
      <c r="E20" s="175">
        <v>39.630000000000003</v>
      </c>
      <c r="F20" s="175">
        <v>203.2</v>
      </c>
      <c r="G20" s="175">
        <v>0.2732</v>
      </c>
      <c r="H20" s="175">
        <v>2.1932000000001639</v>
      </c>
      <c r="I20" s="175">
        <f t="shared" si="0"/>
        <v>0.67320000000000002</v>
      </c>
      <c r="J20" s="194">
        <f t="shared" si="1"/>
        <v>0.9</v>
      </c>
      <c r="K20" s="175">
        <v>1</v>
      </c>
      <c r="M20" s="337"/>
      <c r="N20" s="208" t="s">
        <v>253</v>
      </c>
      <c r="O20" s="208">
        <v>125889</v>
      </c>
      <c r="P20" s="209">
        <v>1.5</v>
      </c>
      <c r="Q20" s="209">
        <v>250</v>
      </c>
      <c r="R20" s="209">
        <v>0.27</v>
      </c>
      <c r="S20" s="209">
        <v>1.4932000000000003</v>
      </c>
      <c r="T20" s="209">
        <f t="shared" si="3"/>
        <v>0.77</v>
      </c>
      <c r="U20" s="210">
        <f t="shared" si="4"/>
        <v>0.8</v>
      </c>
      <c r="V20" s="209">
        <v>1</v>
      </c>
    </row>
    <row r="21" spans="2:22">
      <c r="B21" s="340"/>
      <c r="C21" s="174" t="s">
        <v>145</v>
      </c>
      <c r="D21" s="174">
        <v>130317</v>
      </c>
      <c r="E21" s="175">
        <v>70.36</v>
      </c>
      <c r="F21" s="175">
        <v>203.2</v>
      </c>
      <c r="G21" s="175">
        <v>0.2732</v>
      </c>
      <c r="H21" s="175">
        <v>3.3332000000000366</v>
      </c>
      <c r="I21" s="175">
        <f t="shared" si="0"/>
        <v>0.67320000000000002</v>
      </c>
      <c r="J21" s="194">
        <f t="shared" si="1"/>
        <v>0.9</v>
      </c>
      <c r="K21" s="175">
        <v>1</v>
      </c>
      <c r="M21" s="337"/>
      <c r="N21" s="208" t="s">
        <v>254</v>
      </c>
      <c r="O21" s="208">
        <v>125889</v>
      </c>
      <c r="P21" s="209">
        <v>2.4</v>
      </c>
      <c r="Q21" s="209">
        <v>250</v>
      </c>
      <c r="R21" s="209">
        <v>0.27</v>
      </c>
      <c r="S21" s="209">
        <v>1.5131999999999999</v>
      </c>
      <c r="T21" s="209">
        <f t="shared" si="3"/>
        <v>0.77</v>
      </c>
      <c r="U21" s="210">
        <f t="shared" si="4"/>
        <v>0.8</v>
      </c>
      <c r="V21" s="209">
        <v>1</v>
      </c>
    </row>
    <row r="22" spans="2:22">
      <c r="B22" s="340"/>
      <c r="C22" s="174" t="s">
        <v>146</v>
      </c>
      <c r="D22" s="174">
        <v>79879</v>
      </c>
      <c r="E22" s="175">
        <v>55.38</v>
      </c>
      <c r="F22" s="175">
        <v>203.2</v>
      </c>
      <c r="G22" s="175">
        <v>0.2732</v>
      </c>
      <c r="H22" s="175">
        <v>2.5731999999998183</v>
      </c>
      <c r="I22" s="175">
        <f t="shared" si="0"/>
        <v>0.67320000000000002</v>
      </c>
      <c r="J22" s="194">
        <f t="shared" si="1"/>
        <v>0.9</v>
      </c>
      <c r="K22" s="175">
        <v>1</v>
      </c>
      <c r="M22" s="337"/>
      <c r="N22" s="208" t="s">
        <v>255</v>
      </c>
      <c r="O22" s="208">
        <v>125890</v>
      </c>
      <c r="P22" s="209">
        <v>16.600000000000001</v>
      </c>
      <c r="Q22" s="209">
        <v>250</v>
      </c>
      <c r="R22" s="209">
        <v>0.27</v>
      </c>
      <c r="S22" s="209">
        <v>1.4932000000000003</v>
      </c>
      <c r="T22" s="209">
        <f t="shared" si="3"/>
        <v>0.77</v>
      </c>
      <c r="U22" s="210">
        <f t="shared" si="4"/>
        <v>0.8</v>
      </c>
      <c r="V22" s="209">
        <v>1</v>
      </c>
    </row>
    <row r="23" spans="2:22">
      <c r="B23" s="340"/>
      <c r="C23" s="174">
        <v>79879</v>
      </c>
      <c r="D23" s="174">
        <v>130362</v>
      </c>
      <c r="E23" s="175">
        <v>49.85</v>
      </c>
      <c r="F23" s="175">
        <v>203.2</v>
      </c>
      <c r="G23" s="175">
        <v>0.2732</v>
      </c>
      <c r="H23" s="175">
        <v>2.293200000000073</v>
      </c>
      <c r="I23" s="175">
        <f t="shared" si="0"/>
        <v>0.67320000000000002</v>
      </c>
      <c r="J23" s="194">
        <f t="shared" si="1"/>
        <v>0.9</v>
      </c>
      <c r="K23" s="175">
        <v>1</v>
      </c>
      <c r="M23" s="337"/>
      <c r="N23" s="208" t="s">
        <v>256</v>
      </c>
      <c r="O23" s="208">
        <v>125890</v>
      </c>
      <c r="P23" s="209">
        <v>15.8</v>
      </c>
      <c r="Q23" s="209">
        <v>250</v>
      </c>
      <c r="R23" s="209">
        <v>0.27</v>
      </c>
      <c r="S23" s="209">
        <v>1.5131999999999999</v>
      </c>
      <c r="T23" s="209">
        <f t="shared" si="3"/>
        <v>0.77</v>
      </c>
      <c r="U23" s="210">
        <f t="shared" si="4"/>
        <v>0.8</v>
      </c>
      <c r="V23" s="209">
        <v>1</v>
      </c>
    </row>
    <row r="24" spans="2:22">
      <c r="B24" s="340"/>
      <c r="C24" s="174">
        <v>79879</v>
      </c>
      <c r="D24" s="174">
        <v>130234</v>
      </c>
      <c r="E24" s="175">
        <v>51.12</v>
      </c>
      <c r="F24" s="175">
        <v>203.2</v>
      </c>
      <c r="G24" s="175">
        <v>0.2732</v>
      </c>
      <c r="H24" s="175">
        <v>1.8332000000000366</v>
      </c>
      <c r="I24" s="175">
        <f t="shared" si="0"/>
        <v>0.67320000000000002</v>
      </c>
      <c r="J24" s="194">
        <f t="shared" si="1"/>
        <v>0.9</v>
      </c>
      <c r="K24" s="175">
        <v>1</v>
      </c>
      <c r="M24" s="337"/>
      <c r="N24" s="208" t="s">
        <v>257</v>
      </c>
      <c r="O24" s="208">
        <v>77724</v>
      </c>
      <c r="P24" s="209">
        <v>9.6999999999999993</v>
      </c>
      <c r="Q24" s="209">
        <v>250</v>
      </c>
      <c r="R24" s="209">
        <v>0.27</v>
      </c>
      <c r="S24" s="209">
        <v>1.3732000000000002</v>
      </c>
      <c r="T24" s="209">
        <f t="shared" si="3"/>
        <v>0.77</v>
      </c>
      <c r="U24" s="210">
        <f t="shared" si="4"/>
        <v>0.8</v>
      </c>
      <c r="V24" s="209">
        <v>1</v>
      </c>
    </row>
    <row r="25" spans="2:22">
      <c r="B25" s="340"/>
      <c r="C25" s="174">
        <v>130234</v>
      </c>
      <c r="D25" s="174" t="s">
        <v>147</v>
      </c>
      <c r="E25" s="175">
        <v>54.91</v>
      </c>
      <c r="F25" s="175">
        <v>254</v>
      </c>
      <c r="G25" s="175">
        <v>0.32400000000000001</v>
      </c>
      <c r="H25" s="175">
        <v>3.0839999999998544</v>
      </c>
      <c r="I25" s="175">
        <f t="shared" si="0"/>
        <v>0.82400000000000007</v>
      </c>
      <c r="J25" s="194">
        <f t="shared" si="1"/>
        <v>0.9</v>
      </c>
      <c r="K25" s="175">
        <v>1</v>
      </c>
      <c r="M25" s="337"/>
      <c r="N25" s="208" t="s">
        <v>258</v>
      </c>
      <c r="O25" s="208">
        <v>77975</v>
      </c>
      <c r="P25" s="209">
        <v>6.7</v>
      </c>
      <c r="Q25" s="209">
        <v>250</v>
      </c>
      <c r="R25" s="209">
        <v>0.27</v>
      </c>
      <c r="S25" s="209">
        <v>1.8431999999999999</v>
      </c>
      <c r="T25" s="209">
        <f t="shared" si="3"/>
        <v>0.77</v>
      </c>
      <c r="U25" s="210">
        <f t="shared" si="4"/>
        <v>0.9</v>
      </c>
      <c r="V25" s="209">
        <v>1</v>
      </c>
    </row>
    <row r="26" spans="2:22">
      <c r="B26" s="340"/>
      <c r="C26" s="174" t="s">
        <v>147</v>
      </c>
      <c r="D26" s="174">
        <v>130178</v>
      </c>
      <c r="E26" s="175">
        <v>55.4</v>
      </c>
      <c r="F26" s="175">
        <v>254</v>
      </c>
      <c r="G26" s="175">
        <v>0.32400000000000001</v>
      </c>
      <c r="H26" s="175">
        <v>2.4139999999997817</v>
      </c>
      <c r="I26" s="175">
        <f t="shared" si="0"/>
        <v>0.82400000000000007</v>
      </c>
      <c r="J26" s="194">
        <f t="shared" si="1"/>
        <v>0.9</v>
      </c>
      <c r="K26" s="175">
        <v>1</v>
      </c>
      <c r="M26" s="337"/>
      <c r="N26" s="208" t="s">
        <v>259</v>
      </c>
      <c r="O26" s="208">
        <v>78120</v>
      </c>
      <c r="P26" s="209">
        <v>8</v>
      </c>
      <c r="Q26" s="209">
        <v>250</v>
      </c>
      <c r="R26" s="209">
        <v>0.27</v>
      </c>
      <c r="S26" s="209">
        <v>1.3832</v>
      </c>
      <c r="T26" s="209">
        <f t="shared" si="3"/>
        <v>0.77</v>
      </c>
      <c r="U26" s="210">
        <f t="shared" si="4"/>
        <v>0.8</v>
      </c>
      <c r="V26" s="209">
        <v>1</v>
      </c>
    </row>
    <row r="27" spans="2:22">
      <c r="B27" s="340"/>
      <c r="C27" s="174">
        <v>130178</v>
      </c>
      <c r="D27" s="174" t="s">
        <v>148</v>
      </c>
      <c r="E27" s="175">
        <v>48.08</v>
      </c>
      <c r="F27" s="175">
        <v>254</v>
      </c>
      <c r="G27" s="175">
        <v>0.32400000000000001</v>
      </c>
      <c r="H27" s="175">
        <v>2.4040000000000181</v>
      </c>
      <c r="I27" s="175">
        <f t="shared" si="0"/>
        <v>0.82400000000000007</v>
      </c>
      <c r="J27" s="194">
        <f t="shared" si="1"/>
        <v>0.9</v>
      </c>
      <c r="K27" s="175">
        <v>1</v>
      </c>
      <c r="M27" s="337"/>
      <c r="N27" s="208" t="s">
        <v>260</v>
      </c>
      <c r="O27" s="208" t="s">
        <v>154</v>
      </c>
      <c r="P27" s="209">
        <v>1.5</v>
      </c>
      <c r="Q27" s="209">
        <v>250</v>
      </c>
      <c r="R27" s="209">
        <v>0.27</v>
      </c>
      <c r="S27" s="209">
        <v>2.0731999999999999</v>
      </c>
      <c r="T27" s="209">
        <f t="shared" si="3"/>
        <v>0.77</v>
      </c>
      <c r="U27" s="210">
        <f t="shared" si="4"/>
        <v>0.9</v>
      </c>
      <c r="V27" s="209">
        <v>1</v>
      </c>
    </row>
    <row r="28" spans="2:22">
      <c r="B28" s="340"/>
      <c r="C28" s="174">
        <v>130317</v>
      </c>
      <c r="D28" s="174">
        <v>130251</v>
      </c>
      <c r="E28" s="175">
        <v>50.83</v>
      </c>
      <c r="F28" s="175">
        <v>203.2</v>
      </c>
      <c r="G28" s="175">
        <v>0.2732</v>
      </c>
      <c r="H28" s="175">
        <v>1.7431999999998911</v>
      </c>
      <c r="I28" s="175">
        <f t="shared" si="0"/>
        <v>0.67320000000000002</v>
      </c>
      <c r="J28" s="194">
        <f t="shared" si="1"/>
        <v>0.8</v>
      </c>
      <c r="K28" s="175">
        <v>1</v>
      </c>
      <c r="M28" s="337"/>
      <c r="N28" s="208" t="s">
        <v>261</v>
      </c>
      <c r="O28" s="208" t="s">
        <v>154</v>
      </c>
      <c r="P28" s="209">
        <v>2</v>
      </c>
      <c r="Q28" s="209">
        <v>250</v>
      </c>
      <c r="R28" s="209">
        <v>0.27</v>
      </c>
      <c r="S28" s="209">
        <v>2.0731999999999999</v>
      </c>
      <c r="T28" s="209">
        <f t="shared" si="3"/>
        <v>0.77</v>
      </c>
      <c r="U28" s="210">
        <f t="shared" si="4"/>
        <v>0.9</v>
      </c>
      <c r="V28" s="209">
        <v>1</v>
      </c>
    </row>
    <row r="29" spans="2:22">
      <c r="B29" s="340"/>
      <c r="C29" s="174">
        <v>130178</v>
      </c>
      <c r="D29" s="174">
        <v>130251</v>
      </c>
      <c r="E29" s="175">
        <v>50.1</v>
      </c>
      <c r="F29" s="175">
        <v>203.2</v>
      </c>
      <c r="G29" s="175">
        <v>0.2732</v>
      </c>
      <c r="H29" s="175">
        <v>1.6732000000001821</v>
      </c>
      <c r="I29" s="175">
        <f t="shared" si="0"/>
        <v>0.67320000000000002</v>
      </c>
      <c r="J29" s="194">
        <f t="shared" si="1"/>
        <v>0.8</v>
      </c>
      <c r="K29" s="175">
        <v>1</v>
      </c>
      <c r="M29" s="337"/>
      <c r="N29" s="208" t="s">
        <v>262</v>
      </c>
      <c r="O29" s="208">
        <v>78745</v>
      </c>
      <c r="P29" s="209">
        <v>11.7</v>
      </c>
      <c r="Q29" s="209">
        <v>250</v>
      </c>
      <c r="R29" s="209">
        <v>0.27</v>
      </c>
      <c r="S29" s="209">
        <v>1.5131999999999999</v>
      </c>
      <c r="T29" s="209">
        <f t="shared" si="3"/>
        <v>0.77</v>
      </c>
      <c r="U29" s="210">
        <f t="shared" si="4"/>
        <v>0.8</v>
      </c>
      <c r="V29" s="209">
        <v>1</v>
      </c>
    </row>
    <row r="30" spans="2:22">
      <c r="B30" s="340"/>
      <c r="C30" s="174" t="s">
        <v>149</v>
      </c>
      <c r="D30" s="174" t="s">
        <v>150</v>
      </c>
      <c r="E30" s="175">
        <v>6.14</v>
      </c>
      <c r="F30" s="175">
        <v>203.2</v>
      </c>
      <c r="G30" s="175">
        <v>0.2732</v>
      </c>
      <c r="H30" s="175">
        <v>2.2332000000001275</v>
      </c>
      <c r="I30" s="175">
        <f t="shared" si="0"/>
        <v>0.67320000000000002</v>
      </c>
      <c r="J30" s="194">
        <f t="shared" si="1"/>
        <v>0.9</v>
      </c>
      <c r="K30" s="175">
        <v>1</v>
      </c>
      <c r="M30" s="337"/>
      <c r="N30" s="208" t="s">
        <v>263</v>
      </c>
      <c r="O30" s="208">
        <v>78745</v>
      </c>
      <c r="P30" s="209">
        <v>12.1</v>
      </c>
      <c r="Q30" s="209">
        <v>250</v>
      </c>
      <c r="R30" s="209">
        <v>0.27</v>
      </c>
      <c r="S30" s="209">
        <v>1.5432000000000001</v>
      </c>
      <c r="T30" s="209">
        <f t="shared" si="3"/>
        <v>0.77</v>
      </c>
      <c r="U30" s="210">
        <f t="shared" si="4"/>
        <v>0.8</v>
      </c>
      <c r="V30" s="209">
        <v>1</v>
      </c>
    </row>
    <row r="31" spans="2:22">
      <c r="B31" s="340"/>
      <c r="C31" s="174" t="s">
        <v>150</v>
      </c>
      <c r="D31" s="174">
        <v>130251</v>
      </c>
      <c r="E31" s="175">
        <v>11.23</v>
      </c>
      <c r="F31" s="175">
        <v>203.2</v>
      </c>
      <c r="G31" s="175">
        <v>0.2732</v>
      </c>
      <c r="H31" s="175">
        <v>1.8332000000000366</v>
      </c>
      <c r="I31" s="175">
        <f t="shared" si="0"/>
        <v>0.67320000000000002</v>
      </c>
      <c r="J31" s="194">
        <f t="shared" si="1"/>
        <v>0.9</v>
      </c>
      <c r="K31" s="175">
        <v>1</v>
      </c>
      <c r="M31" s="337"/>
      <c r="N31" s="208" t="s">
        <v>264</v>
      </c>
      <c r="O31" s="208">
        <v>77970</v>
      </c>
      <c r="P31" s="209">
        <v>7.3</v>
      </c>
      <c r="Q31" s="209">
        <v>250</v>
      </c>
      <c r="R31" s="209">
        <v>0.27</v>
      </c>
      <c r="S31" s="209">
        <v>1.5032000000000001</v>
      </c>
      <c r="T31" s="209">
        <f t="shared" si="3"/>
        <v>0.77</v>
      </c>
      <c r="U31" s="210">
        <f t="shared" si="4"/>
        <v>0.8</v>
      </c>
      <c r="V31" s="209">
        <v>1</v>
      </c>
    </row>
    <row r="32" spans="2:22">
      <c r="B32" s="340"/>
      <c r="C32" s="174" t="s">
        <v>151</v>
      </c>
      <c r="D32" s="174" t="s">
        <v>152</v>
      </c>
      <c r="E32" s="175">
        <v>10.09</v>
      </c>
      <c r="F32" s="175">
        <v>304.79999999999995</v>
      </c>
      <c r="G32" s="175">
        <v>0.32400000000000001</v>
      </c>
      <c r="H32" s="175">
        <v>2.5639999999998726</v>
      </c>
      <c r="I32" s="175">
        <f t="shared" si="0"/>
        <v>0.82400000000000007</v>
      </c>
      <c r="J32" s="194">
        <f t="shared" si="1"/>
        <v>0.9</v>
      </c>
      <c r="K32" s="175">
        <v>1</v>
      </c>
      <c r="M32" s="337"/>
      <c r="N32" s="208" t="s">
        <v>265</v>
      </c>
      <c r="O32" s="208">
        <v>77970</v>
      </c>
      <c r="P32" s="209">
        <v>2.8</v>
      </c>
      <c r="Q32" s="209">
        <v>250</v>
      </c>
      <c r="R32" s="209">
        <v>0.27</v>
      </c>
      <c r="S32" s="209">
        <v>1.4532000000000003</v>
      </c>
      <c r="T32" s="209">
        <f t="shared" si="3"/>
        <v>0.77</v>
      </c>
      <c r="U32" s="210">
        <f t="shared" si="4"/>
        <v>0.8</v>
      </c>
      <c r="V32" s="209">
        <v>1</v>
      </c>
    </row>
    <row r="33" spans="2:22">
      <c r="B33" s="340"/>
      <c r="C33" s="174" t="s">
        <v>152</v>
      </c>
      <c r="D33" s="174">
        <v>125889</v>
      </c>
      <c r="E33" s="175">
        <v>14.58</v>
      </c>
      <c r="F33" s="175">
        <v>304.79999999999995</v>
      </c>
      <c r="G33" s="175">
        <v>0.32400000000000001</v>
      </c>
      <c r="H33" s="175">
        <v>2.7139999999999636</v>
      </c>
      <c r="I33" s="175">
        <f t="shared" si="0"/>
        <v>0.82400000000000007</v>
      </c>
      <c r="J33" s="194">
        <f t="shared" si="1"/>
        <v>0.9</v>
      </c>
      <c r="K33" s="175">
        <v>1</v>
      </c>
      <c r="M33" s="337"/>
      <c r="N33" s="208" t="s">
        <v>266</v>
      </c>
      <c r="O33" s="208">
        <v>77970</v>
      </c>
      <c r="P33" s="209">
        <v>9.6999999999999993</v>
      </c>
      <c r="Q33" s="209">
        <v>250</v>
      </c>
      <c r="R33" s="209">
        <v>0.27</v>
      </c>
      <c r="S33" s="209">
        <v>1.8732000000000002</v>
      </c>
      <c r="T33" s="209">
        <f t="shared" si="3"/>
        <v>0.77</v>
      </c>
      <c r="U33" s="210">
        <f t="shared" si="4"/>
        <v>0.9</v>
      </c>
      <c r="V33" s="209">
        <v>1</v>
      </c>
    </row>
    <row r="34" spans="2:22">
      <c r="B34" s="340"/>
      <c r="C34" s="174">
        <v>125889</v>
      </c>
      <c r="D34" s="174">
        <v>125890</v>
      </c>
      <c r="E34" s="175">
        <v>53.53</v>
      </c>
      <c r="F34" s="175">
        <v>304.79999999999995</v>
      </c>
      <c r="G34" s="175">
        <v>0.32400000000000001</v>
      </c>
      <c r="H34" s="175">
        <v>2.773999999999909</v>
      </c>
      <c r="I34" s="175">
        <f t="shared" si="0"/>
        <v>0.82400000000000007</v>
      </c>
      <c r="J34" s="194">
        <f t="shared" si="1"/>
        <v>0.9</v>
      </c>
      <c r="K34" s="175">
        <v>1</v>
      </c>
      <c r="M34" s="338"/>
      <c r="N34" s="208" t="s">
        <v>267</v>
      </c>
      <c r="O34" s="208">
        <v>77970</v>
      </c>
      <c r="P34" s="209">
        <v>3.6</v>
      </c>
      <c r="Q34" s="209">
        <v>250</v>
      </c>
      <c r="R34" s="209">
        <v>0.27</v>
      </c>
      <c r="S34" s="209">
        <v>1.6732</v>
      </c>
      <c r="T34" s="209">
        <f t="shared" si="3"/>
        <v>0.77</v>
      </c>
      <c r="U34" s="210">
        <f t="shared" si="4"/>
        <v>0.8</v>
      </c>
      <c r="V34" s="209">
        <v>1</v>
      </c>
    </row>
    <row r="35" spans="2:22">
      <c r="B35" s="340"/>
      <c r="C35" s="174">
        <v>78120</v>
      </c>
      <c r="D35" s="174">
        <v>77975</v>
      </c>
      <c r="E35" s="175">
        <v>50.07</v>
      </c>
      <c r="F35" s="175">
        <v>914.4</v>
      </c>
      <c r="G35" s="175">
        <v>0.95</v>
      </c>
      <c r="H35" s="175">
        <v>3.2700000000002549</v>
      </c>
      <c r="I35" s="175">
        <f t="shared" si="0"/>
        <v>1.7999999999999998</v>
      </c>
      <c r="J35" s="194">
        <f t="shared" si="1"/>
        <v>0.9</v>
      </c>
      <c r="K35" s="175">
        <f t="shared" si="2"/>
        <v>1.7999999999999998</v>
      </c>
      <c r="M35" s="341" t="s">
        <v>285</v>
      </c>
      <c r="N35" s="211" t="s">
        <v>246</v>
      </c>
      <c r="O35" s="211">
        <v>79804</v>
      </c>
      <c r="P35" s="212">
        <v>8.5</v>
      </c>
      <c r="Q35" s="212">
        <v>250</v>
      </c>
      <c r="R35" s="212">
        <v>0.27</v>
      </c>
      <c r="S35" s="212">
        <v>1.4732000000000003</v>
      </c>
      <c r="T35" s="212">
        <f t="shared" si="3"/>
        <v>0.77</v>
      </c>
      <c r="U35" s="212">
        <f t="shared" si="4"/>
        <v>0.8</v>
      </c>
      <c r="V35" s="212">
        <v>1</v>
      </c>
    </row>
    <row r="36" spans="2:22">
      <c r="B36" s="340"/>
      <c r="C36" s="174">
        <v>77975</v>
      </c>
      <c r="D36" s="174">
        <v>77724</v>
      </c>
      <c r="E36" s="175">
        <v>50.46</v>
      </c>
      <c r="F36" s="175">
        <v>914.4</v>
      </c>
      <c r="G36" s="175">
        <v>0.95</v>
      </c>
      <c r="H36" s="175">
        <v>3.8500000000001822</v>
      </c>
      <c r="I36" s="175">
        <f t="shared" si="0"/>
        <v>1.7999999999999998</v>
      </c>
      <c r="J36" s="194">
        <f t="shared" si="1"/>
        <v>0.9</v>
      </c>
      <c r="K36" s="175">
        <f t="shared" si="2"/>
        <v>1.7999999999999998</v>
      </c>
      <c r="M36" s="342"/>
      <c r="N36" s="211" t="s">
        <v>247</v>
      </c>
      <c r="O36" s="211">
        <v>79804</v>
      </c>
      <c r="P36" s="212">
        <v>7.2</v>
      </c>
      <c r="Q36" s="212">
        <v>250</v>
      </c>
      <c r="R36" s="212">
        <v>0.27</v>
      </c>
      <c r="S36" s="212">
        <v>1.4732000000000003</v>
      </c>
      <c r="T36" s="212">
        <f t="shared" si="3"/>
        <v>0.77</v>
      </c>
      <c r="U36" s="212">
        <f t="shared" si="4"/>
        <v>0.8</v>
      </c>
      <c r="V36" s="212">
        <v>1</v>
      </c>
    </row>
    <row r="37" spans="2:22">
      <c r="B37" s="340"/>
      <c r="C37" s="174">
        <v>78745</v>
      </c>
      <c r="D37" s="174">
        <v>77970</v>
      </c>
      <c r="E37" s="175">
        <v>51.41</v>
      </c>
      <c r="F37" s="175">
        <v>304.79999999999995</v>
      </c>
      <c r="G37" s="175">
        <v>0.32400000000000001</v>
      </c>
      <c r="H37" s="175">
        <v>1.5639999999998728</v>
      </c>
      <c r="I37" s="175">
        <f t="shared" si="0"/>
        <v>0.82400000000000007</v>
      </c>
      <c r="J37" s="194">
        <f t="shared" si="1"/>
        <v>0.8</v>
      </c>
      <c r="K37" s="175">
        <v>1</v>
      </c>
      <c r="M37" s="342"/>
      <c r="N37" s="211" t="s">
        <v>248</v>
      </c>
      <c r="O37" s="211" t="s">
        <v>167</v>
      </c>
      <c r="P37" s="212">
        <v>3.2</v>
      </c>
      <c r="Q37" s="212">
        <v>250</v>
      </c>
      <c r="R37" s="212">
        <v>0.27</v>
      </c>
      <c r="S37" s="212">
        <v>1.5931999999999999</v>
      </c>
      <c r="T37" s="212">
        <f t="shared" si="3"/>
        <v>0.77</v>
      </c>
      <c r="U37" s="212">
        <f t="shared" si="4"/>
        <v>0.8</v>
      </c>
      <c r="V37" s="212">
        <v>1</v>
      </c>
    </row>
    <row r="38" spans="2:22">
      <c r="B38" s="340"/>
      <c r="C38" s="174">
        <v>77970</v>
      </c>
      <c r="D38" s="174" t="s">
        <v>153</v>
      </c>
      <c r="E38" s="175">
        <v>75.95</v>
      </c>
      <c r="F38" s="175">
        <v>304.79999999999995</v>
      </c>
      <c r="G38" s="175">
        <v>0.32400000000000001</v>
      </c>
      <c r="H38" s="175">
        <v>3.0140000000001455</v>
      </c>
      <c r="I38" s="175">
        <f t="shared" si="0"/>
        <v>0.82400000000000007</v>
      </c>
      <c r="J38" s="194">
        <f t="shared" si="1"/>
        <v>0.9</v>
      </c>
      <c r="K38" s="175">
        <v>1</v>
      </c>
      <c r="M38" s="342"/>
      <c r="N38" s="211" t="s">
        <v>249</v>
      </c>
      <c r="O38" s="211" t="s">
        <v>167</v>
      </c>
      <c r="P38" s="212">
        <v>1.6</v>
      </c>
      <c r="Q38" s="212">
        <v>250</v>
      </c>
      <c r="R38" s="212">
        <v>0.27</v>
      </c>
      <c r="S38" s="212">
        <v>1.5632000000000001</v>
      </c>
      <c r="T38" s="212">
        <f t="shared" si="3"/>
        <v>0.77</v>
      </c>
      <c r="U38" s="212">
        <f t="shared" si="4"/>
        <v>0.8</v>
      </c>
      <c r="V38" s="212">
        <v>1</v>
      </c>
    </row>
    <row r="39" spans="2:22">
      <c r="B39" s="340"/>
      <c r="C39" s="174" t="s">
        <v>154</v>
      </c>
      <c r="D39" s="174">
        <v>78745</v>
      </c>
      <c r="E39" s="175">
        <v>65.150000000000006</v>
      </c>
      <c r="F39" s="175">
        <v>304.79999999999995</v>
      </c>
      <c r="G39" s="175">
        <v>0.32400000000000001</v>
      </c>
      <c r="H39" s="175">
        <v>1.6239999999998183</v>
      </c>
      <c r="I39" s="175">
        <f t="shared" si="0"/>
        <v>0.82400000000000007</v>
      </c>
      <c r="J39" s="194">
        <f t="shared" si="1"/>
        <v>0.8</v>
      </c>
      <c r="K39" s="175">
        <v>1</v>
      </c>
      <c r="M39" s="342"/>
      <c r="N39" s="211" t="s">
        <v>250</v>
      </c>
      <c r="O39" s="211">
        <v>78315</v>
      </c>
      <c r="P39" s="212">
        <v>12</v>
      </c>
      <c r="Q39" s="212">
        <v>250</v>
      </c>
      <c r="R39" s="212">
        <v>0.27</v>
      </c>
      <c r="S39" s="212">
        <v>1.7732000000000001</v>
      </c>
      <c r="T39" s="212">
        <f t="shared" si="3"/>
        <v>0.77</v>
      </c>
      <c r="U39" s="212">
        <f t="shared" si="4"/>
        <v>0.9</v>
      </c>
      <c r="V39" s="212">
        <v>1</v>
      </c>
    </row>
    <row r="40" spans="2:22">
      <c r="B40" s="340"/>
      <c r="C40" s="174" t="s">
        <v>155</v>
      </c>
      <c r="D40" s="174" t="s">
        <v>156</v>
      </c>
      <c r="E40" s="175">
        <v>28.52</v>
      </c>
      <c r="F40" s="175">
        <v>304.79999999999995</v>
      </c>
      <c r="G40" s="175">
        <v>0.32400000000000001</v>
      </c>
      <c r="H40" s="175">
        <v>1.8240000000000911</v>
      </c>
      <c r="I40" s="175">
        <f t="shared" si="0"/>
        <v>0.82400000000000007</v>
      </c>
      <c r="J40" s="194">
        <f t="shared" si="1"/>
        <v>0.9</v>
      </c>
      <c r="K40" s="175">
        <v>1</v>
      </c>
      <c r="M40" s="342"/>
      <c r="N40" s="211" t="s">
        <v>268</v>
      </c>
      <c r="O40" s="211">
        <v>78315</v>
      </c>
      <c r="P40" s="212">
        <v>7.1</v>
      </c>
      <c r="Q40" s="212">
        <v>250</v>
      </c>
      <c r="R40" s="212">
        <v>0.27</v>
      </c>
      <c r="S40" s="212">
        <v>1.7732000000000001</v>
      </c>
      <c r="T40" s="212">
        <f t="shared" si="3"/>
        <v>0.77</v>
      </c>
      <c r="U40" s="212">
        <f t="shared" si="4"/>
        <v>0.9</v>
      </c>
      <c r="V40" s="212">
        <v>1</v>
      </c>
    </row>
    <row r="41" spans="2:22">
      <c r="B41" s="340"/>
      <c r="C41" s="174" t="s">
        <v>156</v>
      </c>
      <c r="D41" s="174">
        <v>79268</v>
      </c>
      <c r="E41" s="175">
        <v>9.8000000000000007</v>
      </c>
      <c r="F41" s="175">
        <v>304.79999999999995</v>
      </c>
      <c r="G41" s="175">
        <v>0.32400000000000001</v>
      </c>
      <c r="H41" s="175">
        <v>1.5540000000001093</v>
      </c>
      <c r="I41" s="175">
        <f t="shared" si="0"/>
        <v>0.82400000000000007</v>
      </c>
      <c r="J41" s="194">
        <f t="shared" si="1"/>
        <v>0.8</v>
      </c>
      <c r="K41" s="175">
        <v>1</v>
      </c>
      <c r="M41" s="342"/>
      <c r="N41" s="211" t="s">
        <v>269</v>
      </c>
      <c r="O41" s="211" t="s">
        <v>165</v>
      </c>
      <c r="P41" s="212">
        <v>2</v>
      </c>
      <c r="Q41" s="212">
        <v>250</v>
      </c>
      <c r="R41" s="212">
        <v>0.27</v>
      </c>
      <c r="S41" s="212">
        <v>1.4732000000000003</v>
      </c>
      <c r="T41" s="212">
        <f t="shared" si="3"/>
        <v>0.77</v>
      </c>
      <c r="U41" s="212">
        <f t="shared" si="4"/>
        <v>0.8</v>
      </c>
      <c r="V41" s="212">
        <v>1</v>
      </c>
    </row>
    <row r="42" spans="2:22">
      <c r="B42" s="343" t="s">
        <v>173</v>
      </c>
      <c r="C42" s="176">
        <v>131946</v>
      </c>
      <c r="D42" s="176" t="s">
        <v>157</v>
      </c>
      <c r="E42" s="177">
        <v>7.41</v>
      </c>
      <c r="F42" s="177">
        <v>203.2</v>
      </c>
      <c r="G42" s="177">
        <v>0.2732</v>
      </c>
      <c r="H42" s="177">
        <v>3.0331999999998547</v>
      </c>
      <c r="I42" s="177">
        <f t="shared" si="0"/>
        <v>0.67320000000000002</v>
      </c>
      <c r="J42" s="195">
        <f t="shared" si="1"/>
        <v>0.9</v>
      </c>
      <c r="K42" s="177">
        <v>1</v>
      </c>
      <c r="M42" s="342"/>
      <c r="N42" s="211" t="s">
        <v>270</v>
      </c>
      <c r="O42" s="211" t="s">
        <v>165</v>
      </c>
      <c r="P42" s="212">
        <v>3.1</v>
      </c>
      <c r="Q42" s="212">
        <v>250</v>
      </c>
      <c r="R42" s="212">
        <v>0.27</v>
      </c>
      <c r="S42" s="212">
        <v>1.4732000000000003</v>
      </c>
      <c r="T42" s="212">
        <f t="shared" si="3"/>
        <v>0.77</v>
      </c>
      <c r="U42" s="212">
        <f t="shared" si="4"/>
        <v>0.8</v>
      </c>
      <c r="V42" s="212">
        <v>1</v>
      </c>
    </row>
    <row r="43" spans="2:22">
      <c r="B43" s="343"/>
      <c r="C43" s="176" t="s">
        <v>157</v>
      </c>
      <c r="D43" s="176">
        <v>131916</v>
      </c>
      <c r="E43" s="177">
        <v>51.05</v>
      </c>
      <c r="F43" s="177">
        <v>203.2</v>
      </c>
      <c r="G43" s="177">
        <v>0.2732</v>
      </c>
      <c r="H43" s="177">
        <v>3.1332000000002185</v>
      </c>
      <c r="I43" s="177">
        <f t="shared" si="0"/>
        <v>0.67320000000000002</v>
      </c>
      <c r="J43" s="195">
        <f t="shared" si="1"/>
        <v>0.9</v>
      </c>
      <c r="K43" s="177">
        <v>1</v>
      </c>
      <c r="M43" s="342"/>
      <c r="N43" s="211" t="s">
        <v>271</v>
      </c>
      <c r="O43" s="211" t="s">
        <v>166</v>
      </c>
      <c r="P43" s="212">
        <v>2.1</v>
      </c>
      <c r="Q43" s="212">
        <v>250</v>
      </c>
      <c r="R43" s="212">
        <v>0.27</v>
      </c>
      <c r="S43" s="212">
        <v>1.5731999999999999</v>
      </c>
      <c r="T43" s="212">
        <f t="shared" si="3"/>
        <v>0.77</v>
      </c>
      <c r="U43" s="212">
        <f t="shared" si="4"/>
        <v>0.8</v>
      </c>
      <c r="V43" s="212">
        <v>1</v>
      </c>
    </row>
    <row r="44" spans="2:22">
      <c r="B44" s="343"/>
      <c r="C44" s="176">
        <v>80268</v>
      </c>
      <c r="D44" s="176">
        <v>131796</v>
      </c>
      <c r="E44" s="177">
        <v>58.81</v>
      </c>
      <c r="F44" s="177">
        <v>203.2</v>
      </c>
      <c r="G44" s="177">
        <v>0.2732</v>
      </c>
      <c r="H44" s="177">
        <v>3.043200000000073</v>
      </c>
      <c r="I44" s="177">
        <f t="shared" si="0"/>
        <v>0.67320000000000002</v>
      </c>
      <c r="J44" s="195">
        <f t="shared" si="1"/>
        <v>0.9</v>
      </c>
      <c r="K44" s="177">
        <v>1</v>
      </c>
      <c r="M44" s="342"/>
      <c r="N44" s="211" t="s">
        <v>272</v>
      </c>
      <c r="O44" s="211" t="s">
        <v>166</v>
      </c>
      <c r="P44" s="212">
        <v>3.1</v>
      </c>
      <c r="Q44" s="212">
        <v>250</v>
      </c>
      <c r="R44" s="212">
        <v>0.27</v>
      </c>
      <c r="S44" s="212">
        <v>1.4732000000000003</v>
      </c>
      <c r="T44" s="212">
        <f t="shared" si="3"/>
        <v>0.77</v>
      </c>
      <c r="U44" s="212">
        <f t="shared" si="4"/>
        <v>0.8</v>
      </c>
      <c r="V44" s="212">
        <v>1</v>
      </c>
    </row>
    <row r="45" spans="2:22">
      <c r="B45" s="343"/>
      <c r="C45" s="176">
        <v>131796</v>
      </c>
      <c r="D45" s="176">
        <v>131732</v>
      </c>
      <c r="E45" s="177">
        <v>62.58</v>
      </c>
      <c r="F45" s="177">
        <v>203.2</v>
      </c>
      <c r="G45" s="177">
        <v>0.2732</v>
      </c>
      <c r="H45" s="177">
        <v>3.543200000000073</v>
      </c>
      <c r="I45" s="177">
        <f t="shared" si="0"/>
        <v>0.67320000000000002</v>
      </c>
      <c r="J45" s="195">
        <f t="shared" si="1"/>
        <v>0.9</v>
      </c>
      <c r="K45" s="177">
        <v>1</v>
      </c>
      <c r="M45" s="342"/>
      <c r="N45" s="211" t="s">
        <v>273</v>
      </c>
      <c r="O45" s="211">
        <v>78059</v>
      </c>
      <c r="P45" s="212">
        <v>8.1</v>
      </c>
      <c r="Q45" s="212">
        <v>250</v>
      </c>
      <c r="R45" s="212">
        <v>0.27</v>
      </c>
      <c r="S45" s="212">
        <v>1.4032</v>
      </c>
      <c r="T45" s="212">
        <f t="shared" si="3"/>
        <v>0.77</v>
      </c>
      <c r="U45" s="212">
        <f t="shared" si="4"/>
        <v>0.8</v>
      </c>
      <c r="V45" s="212">
        <v>1</v>
      </c>
    </row>
    <row r="46" spans="2:22">
      <c r="B46" s="343"/>
      <c r="C46" s="176" t="s">
        <v>158</v>
      </c>
      <c r="D46" s="176" t="s">
        <v>159</v>
      </c>
      <c r="E46" s="177">
        <v>30.3</v>
      </c>
      <c r="F46" s="177">
        <v>254</v>
      </c>
      <c r="G46" s="177">
        <v>0.32400000000000001</v>
      </c>
      <c r="H46" s="177">
        <v>3.4040000000000181</v>
      </c>
      <c r="I46" s="177">
        <f t="shared" si="0"/>
        <v>0.82400000000000007</v>
      </c>
      <c r="J46" s="195">
        <f t="shared" si="1"/>
        <v>0.9</v>
      </c>
      <c r="K46" s="177">
        <v>1</v>
      </c>
      <c r="M46" s="342"/>
      <c r="N46" s="211" t="s">
        <v>274</v>
      </c>
      <c r="O46" s="211">
        <v>78059</v>
      </c>
      <c r="P46" s="212">
        <v>6.2</v>
      </c>
      <c r="Q46" s="212">
        <v>250</v>
      </c>
      <c r="R46" s="212">
        <v>0.27</v>
      </c>
      <c r="S46" s="212">
        <v>1.4232</v>
      </c>
      <c r="T46" s="212">
        <f t="shared" si="3"/>
        <v>0.77</v>
      </c>
      <c r="U46" s="212">
        <f t="shared" si="4"/>
        <v>0.8</v>
      </c>
      <c r="V46" s="212">
        <v>1</v>
      </c>
    </row>
    <row r="47" spans="2:22">
      <c r="B47" s="343"/>
      <c r="C47" s="176" t="s">
        <v>159</v>
      </c>
      <c r="D47" s="176">
        <v>131732</v>
      </c>
      <c r="E47" s="177">
        <v>30.16</v>
      </c>
      <c r="F47" s="177">
        <v>254</v>
      </c>
      <c r="G47" s="177">
        <v>0.32400000000000001</v>
      </c>
      <c r="H47" s="177">
        <v>3.0540000000001091</v>
      </c>
      <c r="I47" s="177">
        <f t="shared" si="0"/>
        <v>0.82400000000000007</v>
      </c>
      <c r="J47" s="195">
        <f t="shared" si="1"/>
        <v>0.9</v>
      </c>
      <c r="K47" s="177">
        <v>1</v>
      </c>
      <c r="M47" s="342"/>
      <c r="N47" s="211" t="s">
        <v>275</v>
      </c>
      <c r="O47" s="211">
        <v>79319</v>
      </c>
      <c r="P47" s="212">
        <v>3.3</v>
      </c>
      <c r="Q47" s="212">
        <v>250</v>
      </c>
      <c r="R47" s="212">
        <v>0.27</v>
      </c>
      <c r="S47" s="212">
        <v>1.5731999999999999</v>
      </c>
      <c r="T47" s="212">
        <f t="shared" si="3"/>
        <v>0.77</v>
      </c>
      <c r="U47" s="212">
        <f t="shared" si="4"/>
        <v>0.8</v>
      </c>
      <c r="V47" s="212">
        <v>1</v>
      </c>
    </row>
    <row r="48" spans="2:22">
      <c r="B48" s="343"/>
      <c r="C48" s="176" t="s">
        <v>160</v>
      </c>
      <c r="D48" s="176">
        <v>131732</v>
      </c>
      <c r="E48" s="177">
        <v>41.14</v>
      </c>
      <c r="F48" s="177">
        <v>203.2</v>
      </c>
      <c r="G48" s="177">
        <v>0.2732</v>
      </c>
      <c r="H48" s="177">
        <v>2.4531999999999274</v>
      </c>
      <c r="I48" s="177">
        <f t="shared" si="0"/>
        <v>0.67320000000000002</v>
      </c>
      <c r="J48" s="195">
        <f t="shared" si="1"/>
        <v>0.9</v>
      </c>
      <c r="K48" s="177">
        <v>1</v>
      </c>
      <c r="M48" s="342"/>
      <c r="N48" s="211" t="s">
        <v>276</v>
      </c>
      <c r="O48" s="211">
        <v>79319</v>
      </c>
      <c r="P48" s="212">
        <v>4</v>
      </c>
      <c r="Q48" s="212">
        <v>250</v>
      </c>
      <c r="R48" s="212">
        <v>0.27</v>
      </c>
      <c r="S48" s="212">
        <v>1.5731999999999999</v>
      </c>
      <c r="T48" s="212">
        <f t="shared" si="3"/>
        <v>0.77</v>
      </c>
      <c r="U48" s="212">
        <f t="shared" si="4"/>
        <v>0.8</v>
      </c>
      <c r="V48" s="212">
        <v>1</v>
      </c>
    </row>
    <row r="49" spans="2:23">
      <c r="B49" s="343"/>
      <c r="C49" s="176">
        <v>80265</v>
      </c>
      <c r="D49" s="176" t="s">
        <v>161</v>
      </c>
      <c r="E49" s="177">
        <v>11.92</v>
      </c>
      <c r="F49" s="177">
        <v>203.2</v>
      </c>
      <c r="G49" s="177">
        <v>0.2732</v>
      </c>
      <c r="H49" s="177">
        <v>2.8231999999998183</v>
      </c>
      <c r="I49" s="177">
        <f t="shared" si="0"/>
        <v>0.67320000000000002</v>
      </c>
      <c r="J49" s="195">
        <f t="shared" si="1"/>
        <v>0.9</v>
      </c>
      <c r="K49" s="177">
        <v>1</v>
      </c>
      <c r="M49" s="342"/>
      <c r="N49" s="211" t="s">
        <v>277</v>
      </c>
      <c r="O49" s="211">
        <v>78819</v>
      </c>
      <c r="P49" s="212">
        <v>1.9</v>
      </c>
      <c r="Q49" s="212">
        <v>250</v>
      </c>
      <c r="R49" s="212">
        <v>0.27</v>
      </c>
      <c r="S49" s="212">
        <v>1.4632000000000001</v>
      </c>
      <c r="T49" s="212">
        <f t="shared" si="3"/>
        <v>0.77</v>
      </c>
      <c r="U49" s="212">
        <f t="shared" si="4"/>
        <v>0.8</v>
      </c>
      <c r="V49" s="212">
        <v>1</v>
      </c>
    </row>
    <row r="50" spans="2:23">
      <c r="B50" s="343"/>
      <c r="C50" s="176" t="s">
        <v>161</v>
      </c>
      <c r="D50" s="176" t="s">
        <v>162</v>
      </c>
      <c r="E50" s="177">
        <v>43.78</v>
      </c>
      <c r="F50" s="177">
        <v>203.2</v>
      </c>
      <c r="G50" s="177">
        <v>0.2732</v>
      </c>
      <c r="H50" s="177">
        <v>2.6732000000001821</v>
      </c>
      <c r="I50" s="177">
        <f t="shared" si="0"/>
        <v>0.67320000000000002</v>
      </c>
      <c r="J50" s="195">
        <f t="shared" si="1"/>
        <v>0.9</v>
      </c>
      <c r="K50" s="177">
        <v>1</v>
      </c>
      <c r="M50" s="342"/>
      <c r="N50" s="211" t="s">
        <v>278</v>
      </c>
      <c r="O50" s="211">
        <v>78819</v>
      </c>
      <c r="P50" s="212">
        <v>5.3</v>
      </c>
      <c r="Q50" s="212">
        <v>250</v>
      </c>
      <c r="R50" s="212">
        <v>0.27</v>
      </c>
      <c r="S50" s="212">
        <v>1.6132</v>
      </c>
      <c r="T50" s="212">
        <f t="shared" si="3"/>
        <v>0.77</v>
      </c>
      <c r="U50" s="212">
        <f t="shared" si="4"/>
        <v>0.8</v>
      </c>
      <c r="V50" s="212">
        <v>1</v>
      </c>
    </row>
    <row r="51" spans="2:23">
      <c r="B51" s="343"/>
      <c r="C51" s="176" t="s">
        <v>163</v>
      </c>
      <c r="D51" s="176" t="s">
        <v>161</v>
      </c>
      <c r="E51" s="177">
        <v>6.74</v>
      </c>
      <c r="F51" s="177">
        <v>203.2</v>
      </c>
      <c r="G51" s="177">
        <v>0.2732</v>
      </c>
      <c r="H51" s="177">
        <v>1.7031999999999274</v>
      </c>
      <c r="I51" s="177">
        <f t="shared" si="0"/>
        <v>0.67320000000000002</v>
      </c>
      <c r="J51" s="195">
        <f t="shared" si="1"/>
        <v>0.8</v>
      </c>
      <c r="K51" s="177">
        <v>1</v>
      </c>
      <c r="M51" s="342"/>
      <c r="N51" s="211" t="s">
        <v>279</v>
      </c>
      <c r="O51" s="211">
        <v>78819</v>
      </c>
      <c r="P51" s="212">
        <v>2.6</v>
      </c>
      <c r="Q51" s="212">
        <v>250</v>
      </c>
      <c r="R51" s="212">
        <v>0.27</v>
      </c>
      <c r="S51" s="212">
        <v>1.4832000000000001</v>
      </c>
      <c r="T51" s="212">
        <f t="shared" si="3"/>
        <v>0.77</v>
      </c>
      <c r="U51" s="212">
        <f t="shared" si="4"/>
        <v>0.8</v>
      </c>
      <c r="V51" s="212">
        <v>1</v>
      </c>
    </row>
    <row r="52" spans="2:23">
      <c r="B52" s="343"/>
      <c r="C52" s="176" t="s">
        <v>164</v>
      </c>
      <c r="D52" s="176" t="s">
        <v>162</v>
      </c>
      <c r="E52" s="177">
        <v>6.78</v>
      </c>
      <c r="F52" s="177">
        <v>203.2</v>
      </c>
      <c r="G52" s="177">
        <v>0.2732</v>
      </c>
      <c r="H52" s="177">
        <v>2.1232000000000002</v>
      </c>
      <c r="I52" s="177">
        <f t="shared" si="0"/>
        <v>0.67320000000000002</v>
      </c>
      <c r="J52" s="195">
        <f t="shared" si="1"/>
        <v>0.9</v>
      </c>
      <c r="K52" s="177">
        <v>1</v>
      </c>
      <c r="M52" s="342"/>
      <c r="N52" s="211" t="s">
        <v>280</v>
      </c>
      <c r="O52" s="211">
        <v>78819</v>
      </c>
      <c r="P52" s="212">
        <v>3</v>
      </c>
      <c r="Q52" s="212">
        <v>250</v>
      </c>
      <c r="R52" s="212">
        <v>0.27</v>
      </c>
      <c r="S52" s="212">
        <v>1.4832000000000001</v>
      </c>
      <c r="T52" s="212">
        <f t="shared" si="3"/>
        <v>0.77</v>
      </c>
      <c r="U52" s="212">
        <f t="shared" si="4"/>
        <v>0.8</v>
      </c>
      <c r="V52" s="212">
        <v>1</v>
      </c>
    </row>
    <row r="53" spans="2:23">
      <c r="B53" s="343"/>
      <c r="C53" s="176" t="s">
        <v>165</v>
      </c>
      <c r="D53" s="176" t="s">
        <v>166</v>
      </c>
      <c r="E53" s="177">
        <v>33.71</v>
      </c>
      <c r="F53" s="177">
        <v>304.79999999999995</v>
      </c>
      <c r="G53" s="177">
        <v>0.32400000000000001</v>
      </c>
      <c r="H53" s="177">
        <v>1.5239999999999092</v>
      </c>
      <c r="I53" s="177">
        <f t="shared" si="0"/>
        <v>0.82400000000000007</v>
      </c>
      <c r="J53" s="195">
        <f t="shared" si="1"/>
        <v>0.8</v>
      </c>
      <c r="K53" s="177">
        <v>1</v>
      </c>
      <c r="M53" s="342"/>
      <c r="N53" s="211" t="s">
        <v>281</v>
      </c>
      <c r="O53" s="211">
        <v>78059</v>
      </c>
      <c r="P53" s="212">
        <v>1.4</v>
      </c>
      <c r="Q53" s="212">
        <v>250</v>
      </c>
      <c r="R53" s="212">
        <v>0.27</v>
      </c>
      <c r="S53" s="212">
        <v>1.8732000000000002</v>
      </c>
      <c r="T53" s="212">
        <f t="shared" si="3"/>
        <v>0.77</v>
      </c>
      <c r="U53" s="212">
        <f t="shared" si="4"/>
        <v>0.9</v>
      </c>
      <c r="V53" s="212">
        <v>1</v>
      </c>
    </row>
    <row r="54" spans="2:23">
      <c r="B54" s="343"/>
      <c r="C54" s="176" t="s">
        <v>166</v>
      </c>
      <c r="D54" s="176">
        <v>78059</v>
      </c>
      <c r="E54" s="177">
        <v>20.75</v>
      </c>
      <c r="F54" s="177">
        <v>304.79999999999995</v>
      </c>
      <c r="G54" s="177">
        <v>0.32400000000000001</v>
      </c>
      <c r="H54" s="177">
        <v>1.6740000000000002</v>
      </c>
      <c r="I54" s="177">
        <f t="shared" si="0"/>
        <v>0.82400000000000007</v>
      </c>
      <c r="J54" s="195">
        <f t="shared" si="1"/>
        <v>0.8</v>
      </c>
      <c r="K54" s="177">
        <v>1</v>
      </c>
      <c r="M54" s="342"/>
      <c r="N54" s="211" t="s">
        <v>282</v>
      </c>
      <c r="O54" s="211">
        <v>78059</v>
      </c>
      <c r="P54" s="212">
        <v>7.1</v>
      </c>
      <c r="Q54" s="212">
        <v>250</v>
      </c>
      <c r="R54" s="212">
        <v>0.27</v>
      </c>
      <c r="S54" s="212">
        <v>1.8732000000000002</v>
      </c>
      <c r="T54" s="212">
        <f t="shared" si="3"/>
        <v>0.77</v>
      </c>
      <c r="U54" s="212">
        <f t="shared" si="4"/>
        <v>0.9</v>
      </c>
      <c r="V54" s="212">
        <v>1</v>
      </c>
    </row>
    <row r="55" spans="2:23">
      <c r="B55" s="343"/>
      <c r="C55" s="176" t="s">
        <v>167</v>
      </c>
      <c r="D55" s="176">
        <v>78315</v>
      </c>
      <c r="E55" s="177">
        <v>24.96</v>
      </c>
      <c r="F55" s="177">
        <v>304.79999999999995</v>
      </c>
      <c r="G55" s="177">
        <v>0.32400000000000001</v>
      </c>
      <c r="H55" s="177">
        <v>1.6239999999998183</v>
      </c>
      <c r="I55" s="177">
        <f t="shared" si="0"/>
        <v>0.82400000000000007</v>
      </c>
      <c r="J55" s="195">
        <f t="shared" si="1"/>
        <v>0.8</v>
      </c>
      <c r="K55" s="177">
        <v>1</v>
      </c>
      <c r="M55" s="213"/>
      <c r="N55" s="214"/>
      <c r="O55" s="214"/>
      <c r="P55" s="215"/>
      <c r="Q55" s="215"/>
      <c r="R55" s="215"/>
      <c r="S55" s="215"/>
      <c r="T55" s="215"/>
      <c r="U55" s="215"/>
      <c r="V55" s="215"/>
      <c r="W55" s="216"/>
    </row>
    <row r="56" spans="2:23">
      <c r="B56" s="343"/>
      <c r="C56" s="176" t="s">
        <v>168</v>
      </c>
      <c r="D56" s="176">
        <v>78059</v>
      </c>
      <c r="E56" s="177">
        <v>8.75</v>
      </c>
      <c r="F56" s="177">
        <v>304.79999999999995</v>
      </c>
      <c r="G56" s="177">
        <v>0.32400000000000001</v>
      </c>
      <c r="H56" s="177">
        <v>2.1739999999999999</v>
      </c>
      <c r="I56" s="177">
        <f t="shared" si="0"/>
        <v>0.82400000000000007</v>
      </c>
      <c r="J56" s="195">
        <f t="shared" si="1"/>
        <v>0.9</v>
      </c>
      <c r="K56" s="177">
        <v>1</v>
      </c>
      <c r="M56" s="213"/>
      <c r="N56" s="214"/>
      <c r="O56" s="214"/>
      <c r="P56" s="215"/>
      <c r="Q56" s="215"/>
      <c r="R56" s="215"/>
      <c r="S56" s="215"/>
      <c r="T56" s="215"/>
      <c r="U56" s="215"/>
      <c r="V56" s="215"/>
      <c r="W56" s="216"/>
    </row>
    <row r="57" spans="2:23">
      <c r="B57" s="343"/>
      <c r="C57" s="176" t="s">
        <v>169</v>
      </c>
      <c r="D57" s="176">
        <v>78819</v>
      </c>
      <c r="E57" s="177">
        <v>11.14</v>
      </c>
      <c r="F57" s="177">
        <v>304.79999999999995</v>
      </c>
      <c r="G57" s="177">
        <v>0.32400000000000001</v>
      </c>
      <c r="H57" s="177">
        <v>1.6239999999998183</v>
      </c>
      <c r="I57" s="177">
        <f t="shared" si="0"/>
        <v>0.82400000000000007</v>
      </c>
      <c r="J57" s="195">
        <f t="shared" si="1"/>
        <v>0.8</v>
      </c>
      <c r="K57" s="177">
        <v>1</v>
      </c>
      <c r="M57" s="213"/>
      <c r="N57" s="214"/>
      <c r="O57" s="214"/>
      <c r="P57" s="215"/>
      <c r="Q57" s="215"/>
      <c r="R57" s="215"/>
      <c r="S57" s="215"/>
      <c r="T57" s="215"/>
      <c r="U57" s="215"/>
      <c r="V57" s="215"/>
      <c r="W57" s="216"/>
    </row>
    <row r="58" spans="2:23">
      <c r="B58" s="343"/>
      <c r="C58" s="176" t="s">
        <v>170</v>
      </c>
      <c r="D58" s="176">
        <v>78812</v>
      </c>
      <c r="E58" s="177">
        <v>8.59</v>
      </c>
      <c r="F58" s="177">
        <v>304.79999999999995</v>
      </c>
      <c r="G58" s="177">
        <v>0.32400000000000001</v>
      </c>
      <c r="H58" s="177">
        <v>1.7240000000001821</v>
      </c>
      <c r="I58" s="177">
        <f t="shared" si="0"/>
        <v>0.82400000000000007</v>
      </c>
      <c r="J58" s="195">
        <f t="shared" si="1"/>
        <v>0.8</v>
      </c>
      <c r="K58" s="177">
        <v>1</v>
      </c>
      <c r="M58" s="213"/>
      <c r="N58" s="214"/>
      <c r="O58" s="214"/>
      <c r="P58" s="215"/>
      <c r="Q58" s="215"/>
      <c r="R58" s="215"/>
      <c r="S58" s="215"/>
      <c r="T58" s="215"/>
      <c r="U58" s="215"/>
      <c r="V58" s="215"/>
      <c r="W58" s="216"/>
    </row>
    <row r="59" spans="2:23"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6"/>
    </row>
    <row r="63" spans="2:23">
      <c r="B63" s="320" t="s">
        <v>286</v>
      </c>
      <c r="C63" s="320"/>
      <c r="D63" s="320"/>
      <c r="E63" s="320"/>
      <c r="F63" s="320"/>
      <c r="G63" s="320"/>
      <c r="H63" s="320"/>
      <c r="I63" s="320"/>
      <c r="J63" s="320"/>
      <c r="K63" s="320"/>
    </row>
    <row r="64" spans="2:23">
      <c r="B64" s="329" t="s">
        <v>137</v>
      </c>
      <c r="C64" s="119" t="s">
        <v>6</v>
      </c>
      <c r="D64" s="119" t="s">
        <v>6</v>
      </c>
      <c r="E64" s="119" t="s">
        <v>7</v>
      </c>
      <c r="F64" s="119" t="s">
        <v>113</v>
      </c>
      <c r="G64" s="119" t="s">
        <v>114</v>
      </c>
      <c r="H64" s="331" t="s">
        <v>191</v>
      </c>
      <c r="I64" s="328" t="s">
        <v>244</v>
      </c>
      <c r="J64" s="327" t="s">
        <v>192</v>
      </c>
      <c r="K64" s="328" t="s">
        <v>243</v>
      </c>
    </row>
    <row r="65" spans="2:11">
      <c r="B65" s="330"/>
      <c r="C65" s="120" t="s">
        <v>13</v>
      </c>
      <c r="D65" s="120" t="s">
        <v>14</v>
      </c>
      <c r="E65" s="120" t="s">
        <v>15</v>
      </c>
      <c r="F65" s="120" t="s">
        <v>124</v>
      </c>
      <c r="G65" s="120" t="s">
        <v>15</v>
      </c>
      <c r="H65" s="332"/>
      <c r="I65" s="328"/>
      <c r="J65" s="327"/>
      <c r="K65" s="328"/>
    </row>
    <row r="66" spans="2:11">
      <c r="B66" s="321" t="s">
        <v>287</v>
      </c>
      <c r="C66" s="225" t="s">
        <v>155</v>
      </c>
      <c r="D66" s="225" t="s">
        <v>297</v>
      </c>
      <c r="E66" s="226">
        <v>8.5</v>
      </c>
      <c r="F66" s="226">
        <v>250</v>
      </c>
      <c r="G66" s="226">
        <v>0.2732</v>
      </c>
      <c r="H66" s="227">
        <v>1.7732000000000001</v>
      </c>
      <c r="I66" s="227">
        <f>IF(F66&lt;225,(G66+0.4),IF(F66&lt;350,(G66+0.5),IF(F66&lt;700,(G66+0.7),IF(F66&lt;1200,(G66+0.85),1200))))</f>
        <v>0.7732</v>
      </c>
      <c r="J66" s="228">
        <f>IF(H66&lt;1,"No hay",IF(H66&lt;1.75,0.8,IF(H66&lt;4,0.9,1)))</f>
        <v>0.9</v>
      </c>
      <c r="K66" s="227">
        <v>1</v>
      </c>
    </row>
    <row r="67" spans="2:11">
      <c r="B67" s="321"/>
      <c r="C67" s="229" t="s">
        <v>156</v>
      </c>
      <c r="D67" s="229">
        <v>79268</v>
      </c>
      <c r="E67" s="227">
        <v>7.2</v>
      </c>
      <c r="F67" s="227">
        <v>250</v>
      </c>
      <c r="G67" s="227">
        <v>0.2732</v>
      </c>
      <c r="H67" s="227">
        <v>1.5331999999999999</v>
      </c>
      <c r="I67" s="227">
        <f>IF(F67&lt;225,(G67+0.4),IF(F67&lt;350,(G67+0.5),IF(F67&lt;700,(G67+0.7),IF(F67&lt;1200,(G67+0.85),1200))))</f>
        <v>0.7732</v>
      </c>
      <c r="J67" s="228">
        <f t="shared" ref="J67:J89" si="5">IF(H67&lt;1,"No hay",IF(H67&lt;1.75,0.8,IF(H67&lt;4,0.9,1)))</f>
        <v>0.8</v>
      </c>
      <c r="K67" s="227">
        <v>1</v>
      </c>
    </row>
    <row r="68" spans="2:11">
      <c r="B68" s="321" t="s">
        <v>288</v>
      </c>
      <c r="C68" s="229" t="s">
        <v>170</v>
      </c>
      <c r="D68" s="229">
        <v>78812</v>
      </c>
      <c r="E68" s="227">
        <v>8.59</v>
      </c>
      <c r="F68" s="227">
        <v>315</v>
      </c>
      <c r="G68" s="227">
        <v>0.32400000000000001</v>
      </c>
      <c r="H68" s="227">
        <v>1.7240000000000002</v>
      </c>
      <c r="I68" s="227">
        <f>IF(F68&lt;225,(G68+0.4),IF(F68&lt;350,(G68+0.5),IF(F68&lt;700,(G68+0.7),IF(F68&lt;1200,(G68+0.85),1200))))</f>
        <v>0.82400000000000007</v>
      </c>
      <c r="J68" s="228">
        <f t="shared" si="5"/>
        <v>0.8</v>
      </c>
      <c r="K68" s="227">
        <v>1</v>
      </c>
    </row>
    <row r="69" spans="2:11">
      <c r="B69" s="321"/>
      <c r="C69" s="229" t="s">
        <v>156</v>
      </c>
      <c r="D69" s="229">
        <v>79268</v>
      </c>
      <c r="E69" s="227">
        <v>7.2</v>
      </c>
      <c r="F69" s="227">
        <v>250</v>
      </c>
      <c r="G69" s="227">
        <v>0.2732</v>
      </c>
      <c r="H69" s="227">
        <v>1.5331999999999999</v>
      </c>
      <c r="I69" s="227">
        <f t="shared" ref="I69:I89" si="6">IF(F69&lt;225,(G69+0.4),IF(F69&lt;350,(G69+0.5),IF(F69&lt;700,(G69+0.7),IF(F69&lt;1200,(G69+0.85),1200))))</f>
        <v>0.7732</v>
      </c>
      <c r="J69" s="228">
        <f t="shared" si="5"/>
        <v>0.8</v>
      </c>
      <c r="K69" s="227">
        <v>1</v>
      </c>
    </row>
    <row r="70" spans="2:11">
      <c r="B70" s="230" t="s">
        <v>289</v>
      </c>
      <c r="C70" s="229" t="s">
        <v>298</v>
      </c>
      <c r="D70" s="229">
        <v>131765</v>
      </c>
      <c r="E70" s="227">
        <v>7.5</v>
      </c>
      <c r="F70" s="227">
        <v>250</v>
      </c>
      <c r="G70" s="227">
        <v>0.2732</v>
      </c>
      <c r="H70" s="227">
        <v>1.3732000000000002</v>
      </c>
      <c r="I70" s="227">
        <f t="shared" si="6"/>
        <v>0.7732</v>
      </c>
      <c r="J70" s="228">
        <f t="shared" si="5"/>
        <v>0.8</v>
      </c>
      <c r="K70" s="227">
        <v>1</v>
      </c>
    </row>
    <row r="71" spans="2:11">
      <c r="B71" s="230" t="s">
        <v>290</v>
      </c>
      <c r="C71" s="229" t="s">
        <v>299</v>
      </c>
      <c r="D71" s="229">
        <v>131835</v>
      </c>
      <c r="E71" s="227">
        <v>9.9</v>
      </c>
      <c r="F71" s="227">
        <v>250</v>
      </c>
      <c r="G71" s="227">
        <v>0.2732</v>
      </c>
      <c r="H71" s="227">
        <v>2.1732</v>
      </c>
      <c r="I71" s="227">
        <f t="shared" si="6"/>
        <v>0.7732</v>
      </c>
      <c r="J71" s="228">
        <f t="shared" si="5"/>
        <v>0.9</v>
      </c>
      <c r="K71" s="227">
        <v>1</v>
      </c>
    </row>
    <row r="72" spans="2:11">
      <c r="B72" s="322" t="s">
        <v>291</v>
      </c>
      <c r="C72" s="229" t="s">
        <v>300</v>
      </c>
      <c r="D72" s="229" t="s">
        <v>301</v>
      </c>
      <c r="E72" s="227">
        <v>6</v>
      </c>
      <c r="F72" s="227">
        <v>250</v>
      </c>
      <c r="G72" s="227">
        <v>0.2732</v>
      </c>
      <c r="H72" s="227">
        <v>1.8132000000000001</v>
      </c>
      <c r="I72" s="227">
        <f t="shared" si="6"/>
        <v>0.7732</v>
      </c>
      <c r="J72" s="228">
        <f t="shared" si="5"/>
        <v>0.9</v>
      </c>
      <c r="K72" s="227">
        <v>1</v>
      </c>
    </row>
    <row r="73" spans="2:11">
      <c r="B73" s="323"/>
      <c r="C73" s="229" t="s">
        <v>301</v>
      </c>
      <c r="D73" s="229" t="s">
        <v>302</v>
      </c>
      <c r="E73" s="227">
        <v>9.64</v>
      </c>
      <c r="F73" s="227">
        <v>250</v>
      </c>
      <c r="G73" s="227">
        <v>0.2732</v>
      </c>
      <c r="H73" s="227">
        <v>1.8132000000000001</v>
      </c>
      <c r="I73" s="227">
        <f t="shared" si="6"/>
        <v>0.7732</v>
      </c>
      <c r="J73" s="228">
        <f t="shared" si="5"/>
        <v>0.9</v>
      </c>
      <c r="K73" s="227">
        <v>1</v>
      </c>
    </row>
    <row r="74" spans="2:11">
      <c r="B74" s="322" t="s">
        <v>292</v>
      </c>
      <c r="C74" s="229" t="s">
        <v>303</v>
      </c>
      <c r="D74" s="229" t="s">
        <v>304</v>
      </c>
      <c r="E74" s="227">
        <v>11.5</v>
      </c>
      <c r="F74" s="227">
        <v>250</v>
      </c>
      <c r="G74" s="227">
        <v>0.2732</v>
      </c>
      <c r="H74" s="227">
        <v>2.4932000000000003</v>
      </c>
      <c r="I74" s="227">
        <f t="shared" si="6"/>
        <v>0.7732</v>
      </c>
      <c r="J74" s="228">
        <f t="shared" si="5"/>
        <v>0.9</v>
      </c>
      <c r="K74" s="227">
        <v>1</v>
      </c>
    </row>
    <row r="75" spans="2:11">
      <c r="B75" s="323"/>
      <c r="C75" s="229" t="s">
        <v>305</v>
      </c>
      <c r="D75" s="229">
        <v>156416</v>
      </c>
      <c r="E75" s="227">
        <v>10</v>
      </c>
      <c r="F75" s="227">
        <v>250</v>
      </c>
      <c r="G75" s="227">
        <v>0.2732</v>
      </c>
      <c r="H75" s="227">
        <v>2.2532000000000001</v>
      </c>
      <c r="I75" s="227">
        <f t="shared" si="6"/>
        <v>0.7732</v>
      </c>
      <c r="J75" s="228">
        <f t="shared" si="5"/>
        <v>0.9</v>
      </c>
      <c r="K75" s="227">
        <v>1</v>
      </c>
    </row>
    <row r="76" spans="2:11">
      <c r="B76" s="322" t="s">
        <v>293</v>
      </c>
      <c r="C76" s="229" t="s">
        <v>306</v>
      </c>
      <c r="D76" s="229" t="s">
        <v>307</v>
      </c>
      <c r="E76" s="227">
        <v>7.3</v>
      </c>
      <c r="F76" s="227">
        <v>250</v>
      </c>
      <c r="G76" s="227">
        <v>0.2732</v>
      </c>
      <c r="H76" s="227">
        <v>1.6132</v>
      </c>
      <c r="I76" s="227">
        <f t="shared" si="6"/>
        <v>0.7732</v>
      </c>
      <c r="J76" s="228">
        <f t="shared" si="5"/>
        <v>0.8</v>
      </c>
      <c r="K76" s="227">
        <v>1</v>
      </c>
    </row>
    <row r="77" spans="2:11">
      <c r="B77" s="324"/>
      <c r="C77" s="229" t="s">
        <v>307</v>
      </c>
      <c r="D77" s="229">
        <v>156468</v>
      </c>
      <c r="E77" s="227">
        <v>4.75</v>
      </c>
      <c r="F77" s="227">
        <v>250</v>
      </c>
      <c r="G77" s="227">
        <v>0.2732</v>
      </c>
      <c r="H77" s="227">
        <v>1.8031999999999999</v>
      </c>
      <c r="I77" s="227">
        <f t="shared" si="6"/>
        <v>0.7732</v>
      </c>
      <c r="J77" s="228">
        <f t="shared" si="5"/>
        <v>0.9</v>
      </c>
      <c r="K77" s="227">
        <v>1</v>
      </c>
    </row>
    <row r="78" spans="2:11">
      <c r="B78" s="324"/>
      <c r="C78" s="229" t="s">
        <v>308</v>
      </c>
      <c r="D78" s="229" t="s">
        <v>307</v>
      </c>
      <c r="E78" s="227">
        <v>8.6999999999999993</v>
      </c>
      <c r="F78" s="227">
        <v>250</v>
      </c>
      <c r="G78" s="227">
        <v>0.2732</v>
      </c>
      <c r="H78" s="227">
        <v>1.7732000000000001</v>
      </c>
      <c r="I78" s="227">
        <f t="shared" si="6"/>
        <v>0.7732</v>
      </c>
      <c r="J78" s="228">
        <f t="shared" si="5"/>
        <v>0.9</v>
      </c>
      <c r="K78" s="227">
        <v>1</v>
      </c>
    </row>
    <row r="79" spans="2:11">
      <c r="B79" s="323"/>
      <c r="C79" s="229" t="s">
        <v>309</v>
      </c>
      <c r="D79" s="229">
        <v>81031</v>
      </c>
      <c r="E79" s="227">
        <v>2</v>
      </c>
      <c r="F79" s="227">
        <v>250</v>
      </c>
      <c r="G79" s="227">
        <v>0.2732</v>
      </c>
      <c r="H79" s="227">
        <v>1.4132000000000002</v>
      </c>
      <c r="I79" s="227">
        <f t="shared" si="6"/>
        <v>0.7732</v>
      </c>
      <c r="J79" s="228">
        <f t="shared" si="5"/>
        <v>0.8</v>
      </c>
      <c r="K79" s="227">
        <v>1</v>
      </c>
    </row>
    <row r="80" spans="2:11">
      <c r="B80" s="322" t="s">
        <v>294</v>
      </c>
      <c r="C80" s="229" t="s">
        <v>310</v>
      </c>
      <c r="D80" s="229" t="s">
        <v>311</v>
      </c>
      <c r="E80" s="227">
        <v>2</v>
      </c>
      <c r="F80" s="227">
        <v>250</v>
      </c>
      <c r="G80" s="227">
        <v>0.2732</v>
      </c>
      <c r="H80" s="227">
        <v>1.5731999999999999</v>
      </c>
      <c r="I80" s="227">
        <f t="shared" si="6"/>
        <v>0.7732</v>
      </c>
      <c r="J80" s="228">
        <f t="shared" si="5"/>
        <v>0.8</v>
      </c>
      <c r="K80" s="227">
        <v>1</v>
      </c>
    </row>
    <row r="81" spans="2:11">
      <c r="B81" s="323"/>
      <c r="C81" s="229" t="s">
        <v>311</v>
      </c>
      <c r="D81" s="229">
        <v>77724</v>
      </c>
      <c r="E81" s="227">
        <v>8.5</v>
      </c>
      <c r="F81" s="227">
        <v>250</v>
      </c>
      <c r="G81" s="227">
        <v>0.2732</v>
      </c>
      <c r="H81" s="227">
        <v>1.4132000000000002</v>
      </c>
      <c r="I81" s="227">
        <f t="shared" si="6"/>
        <v>0.7732</v>
      </c>
      <c r="J81" s="228">
        <f t="shared" si="5"/>
        <v>0.8</v>
      </c>
      <c r="K81" s="227">
        <v>1</v>
      </c>
    </row>
    <row r="82" spans="2:11">
      <c r="B82" s="322" t="s">
        <v>287</v>
      </c>
      <c r="C82" s="229" t="s">
        <v>312</v>
      </c>
      <c r="D82" s="229" t="s">
        <v>313</v>
      </c>
      <c r="E82" s="227">
        <v>7.3</v>
      </c>
      <c r="F82" s="227">
        <v>250</v>
      </c>
      <c r="G82" s="227">
        <v>0.2732</v>
      </c>
      <c r="H82" s="227">
        <v>1.5232000000000001</v>
      </c>
      <c r="I82" s="227">
        <f t="shared" si="6"/>
        <v>0.7732</v>
      </c>
      <c r="J82" s="228">
        <f t="shared" si="5"/>
        <v>0.8</v>
      </c>
      <c r="K82" s="227">
        <v>1</v>
      </c>
    </row>
    <row r="83" spans="2:11">
      <c r="B83" s="323"/>
      <c r="C83" s="229" t="s">
        <v>313</v>
      </c>
      <c r="D83" s="229" t="s">
        <v>155</v>
      </c>
      <c r="E83" s="227">
        <v>4.8</v>
      </c>
      <c r="F83" s="227">
        <v>250</v>
      </c>
      <c r="G83" s="227">
        <v>0.2732</v>
      </c>
      <c r="H83" s="227">
        <v>1.6732</v>
      </c>
      <c r="I83" s="227">
        <f t="shared" si="6"/>
        <v>0.7732</v>
      </c>
      <c r="J83" s="228">
        <f t="shared" si="5"/>
        <v>0.8</v>
      </c>
      <c r="K83" s="227">
        <v>1</v>
      </c>
    </row>
    <row r="84" spans="2:11">
      <c r="B84" s="322" t="s">
        <v>295</v>
      </c>
      <c r="C84" s="229" t="s">
        <v>314</v>
      </c>
      <c r="D84" s="229" t="s">
        <v>315</v>
      </c>
      <c r="E84" s="227">
        <v>3</v>
      </c>
      <c r="F84" s="227">
        <v>250</v>
      </c>
      <c r="G84" s="227">
        <v>0.2732</v>
      </c>
      <c r="H84" s="227">
        <v>1.1832000000000003</v>
      </c>
      <c r="I84" s="227">
        <f t="shared" si="6"/>
        <v>0.7732</v>
      </c>
      <c r="J84" s="228">
        <f t="shared" si="5"/>
        <v>0.8</v>
      </c>
      <c r="K84" s="227">
        <v>1</v>
      </c>
    </row>
    <row r="85" spans="2:11">
      <c r="B85" s="323"/>
      <c r="C85" s="229" t="s">
        <v>315</v>
      </c>
      <c r="D85" s="229" t="s">
        <v>168</v>
      </c>
      <c r="E85" s="227">
        <v>11.1</v>
      </c>
      <c r="F85" s="227">
        <v>250</v>
      </c>
      <c r="G85" s="227">
        <v>0.2732</v>
      </c>
      <c r="H85" s="227">
        <v>1.1832000000000003</v>
      </c>
      <c r="I85" s="227">
        <f t="shared" si="6"/>
        <v>0.7732</v>
      </c>
      <c r="J85" s="228">
        <f t="shared" si="5"/>
        <v>0.8</v>
      </c>
      <c r="K85" s="227">
        <v>1</v>
      </c>
    </row>
    <row r="86" spans="2:11">
      <c r="B86" s="322" t="s">
        <v>288</v>
      </c>
      <c r="C86" s="229" t="s">
        <v>316</v>
      </c>
      <c r="D86" s="229" t="s">
        <v>317</v>
      </c>
      <c r="E86" s="227">
        <v>1</v>
      </c>
      <c r="F86" s="227">
        <v>250</v>
      </c>
      <c r="G86" s="227">
        <v>0.2732</v>
      </c>
      <c r="H86" s="227">
        <v>1.3932000000000002</v>
      </c>
      <c r="I86" s="227">
        <f t="shared" si="6"/>
        <v>0.7732</v>
      </c>
      <c r="J86" s="228">
        <f t="shared" si="5"/>
        <v>0.8</v>
      </c>
      <c r="K86" s="227">
        <v>1</v>
      </c>
    </row>
    <row r="87" spans="2:11">
      <c r="B87" s="323"/>
      <c r="C87" s="229" t="s">
        <v>317</v>
      </c>
      <c r="D87" s="229" t="s">
        <v>170</v>
      </c>
      <c r="E87" s="227">
        <v>7</v>
      </c>
      <c r="F87" s="227">
        <v>250</v>
      </c>
      <c r="G87" s="227">
        <v>0.2732</v>
      </c>
      <c r="H87" s="227">
        <v>2.7932000000000001</v>
      </c>
      <c r="I87" s="227">
        <f t="shared" si="6"/>
        <v>0.7732</v>
      </c>
      <c r="J87" s="228">
        <f t="shared" si="5"/>
        <v>0.9</v>
      </c>
      <c r="K87" s="227">
        <v>1</v>
      </c>
    </row>
    <row r="88" spans="2:11">
      <c r="B88" s="322" t="s">
        <v>296</v>
      </c>
      <c r="C88" s="229" t="s">
        <v>318</v>
      </c>
      <c r="D88" s="229" t="s">
        <v>319</v>
      </c>
      <c r="E88" s="227">
        <v>3</v>
      </c>
      <c r="F88" s="227">
        <v>250</v>
      </c>
      <c r="G88" s="227">
        <v>0.2732</v>
      </c>
      <c r="H88" s="227">
        <v>2.0731999999999999</v>
      </c>
      <c r="I88" s="227">
        <f t="shared" si="6"/>
        <v>0.7732</v>
      </c>
      <c r="J88" s="228">
        <f t="shared" si="5"/>
        <v>0.9</v>
      </c>
      <c r="K88" s="227">
        <v>1</v>
      </c>
    </row>
    <row r="89" spans="2:11">
      <c r="B89" s="323"/>
      <c r="C89" s="229" t="s">
        <v>319</v>
      </c>
      <c r="D89" s="229" t="s">
        <v>320</v>
      </c>
      <c r="E89" s="227">
        <v>5.6</v>
      </c>
      <c r="F89" s="227">
        <v>250</v>
      </c>
      <c r="G89" s="227">
        <v>0.2732</v>
      </c>
      <c r="H89" s="227">
        <v>1.4232</v>
      </c>
      <c r="I89" s="227">
        <f t="shared" si="6"/>
        <v>0.7732</v>
      </c>
      <c r="J89" s="228">
        <f t="shared" si="5"/>
        <v>0.8</v>
      </c>
      <c r="K89" s="227">
        <v>1</v>
      </c>
    </row>
  </sheetData>
  <autoFilter ref="B11:K58" xr:uid="{792070BD-178C-40ED-B759-E3D2C5AF9BC8}"/>
  <mergeCells count="34">
    <mergeCell ref="B13:B19"/>
    <mergeCell ref="B20:B41"/>
    <mergeCell ref="I11:I12"/>
    <mergeCell ref="M11:M12"/>
    <mergeCell ref="M35:M54"/>
    <mergeCell ref="B42:B58"/>
    <mergeCell ref="B11:B12"/>
    <mergeCell ref="H11:H12"/>
    <mergeCell ref="I2:J2"/>
    <mergeCell ref="J11:J12"/>
    <mergeCell ref="K11:K12"/>
    <mergeCell ref="B88:B89"/>
    <mergeCell ref="M10:V10"/>
    <mergeCell ref="B64:B65"/>
    <mergeCell ref="H64:H65"/>
    <mergeCell ref="I64:I65"/>
    <mergeCell ref="J64:J65"/>
    <mergeCell ref="K64:K65"/>
    <mergeCell ref="S11:S12"/>
    <mergeCell ref="T11:T12"/>
    <mergeCell ref="U11:U12"/>
    <mergeCell ref="V11:V12"/>
    <mergeCell ref="M13:M17"/>
    <mergeCell ref="M18:M34"/>
    <mergeCell ref="B76:B79"/>
    <mergeCell ref="B80:B81"/>
    <mergeCell ref="B82:B83"/>
    <mergeCell ref="B84:B85"/>
    <mergeCell ref="B86:B87"/>
    <mergeCell ref="B63:K63"/>
    <mergeCell ref="B66:B67"/>
    <mergeCell ref="B68:B69"/>
    <mergeCell ref="B72:B73"/>
    <mergeCell ref="B74:B75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37"/>
  <sheetViews>
    <sheetView workbookViewId="0">
      <selection activeCell="A2" sqref="A2:XFD3"/>
    </sheetView>
  </sheetViews>
  <sheetFormatPr baseColWidth="10" defaultRowHeight="12.75"/>
  <cols>
    <col min="5" max="5" width="12.28515625" bestFit="1" customWidth="1"/>
  </cols>
  <sheetData>
    <row r="1" spans="1:8">
      <c r="A1" s="85" t="s">
        <v>117</v>
      </c>
      <c r="B1" s="85"/>
      <c r="C1" s="85"/>
      <c r="F1" s="85" t="s">
        <v>118</v>
      </c>
      <c r="G1" s="86"/>
      <c r="H1" s="86"/>
    </row>
    <row r="2" spans="1:8">
      <c r="A2" s="85"/>
      <c r="B2" s="85"/>
      <c r="C2" s="85"/>
    </row>
    <row r="3" spans="1:8">
      <c r="A3" s="87" t="s">
        <v>8</v>
      </c>
      <c r="B3" s="87"/>
      <c r="C3" s="85" t="s">
        <v>119</v>
      </c>
      <c r="D3" s="88" t="s">
        <v>120</v>
      </c>
      <c r="F3" s="87" t="s">
        <v>8</v>
      </c>
      <c r="G3" s="87"/>
      <c r="H3" s="85" t="s">
        <v>119</v>
      </c>
    </row>
    <row r="4" spans="1:8">
      <c r="A4" s="88" t="s">
        <v>121</v>
      </c>
      <c r="B4" s="88" t="s">
        <v>122</v>
      </c>
      <c r="C4" s="88" t="s">
        <v>87</v>
      </c>
      <c r="D4" s="88" t="s">
        <v>123</v>
      </c>
      <c r="F4" s="88" t="s">
        <v>121</v>
      </c>
      <c r="G4" s="88" t="s">
        <v>122</v>
      </c>
      <c r="H4" s="88" t="s">
        <v>87</v>
      </c>
    </row>
    <row r="5" spans="1:8">
      <c r="A5" s="220">
        <v>60</v>
      </c>
      <c r="B5" s="220">
        <v>1500</v>
      </c>
      <c r="C5" s="221">
        <v>1.575</v>
      </c>
      <c r="D5" s="220">
        <v>105.04</v>
      </c>
      <c r="F5" s="86">
        <v>12</v>
      </c>
      <c r="G5" s="86">
        <f>F5*25.4</f>
        <v>304.79999999999995</v>
      </c>
      <c r="H5" s="86">
        <f>323.85/1000</f>
        <v>0.32385000000000003</v>
      </c>
    </row>
    <row r="6" spans="1:8">
      <c r="A6" s="220">
        <v>54</v>
      </c>
      <c r="B6" s="220">
        <v>1400</v>
      </c>
      <c r="C6" s="221">
        <v>1.423</v>
      </c>
      <c r="D6" s="220">
        <v>94.88</v>
      </c>
      <c r="F6" s="86">
        <v>10</v>
      </c>
      <c r="G6" s="86">
        <f>F6*25.4</f>
        <v>254</v>
      </c>
      <c r="H6" s="86">
        <f>273.05/1000</f>
        <v>0.27305000000000001</v>
      </c>
    </row>
    <row r="7" spans="1:8">
      <c r="A7" s="220">
        <v>51</v>
      </c>
      <c r="B7" s="220">
        <v>1300</v>
      </c>
      <c r="C7" s="221">
        <v>1.363</v>
      </c>
      <c r="D7" s="220">
        <v>90.81</v>
      </c>
      <c r="F7" s="86">
        <v>8</v>
      </c>
      <c r="G7" s="86">
        <f>F7*25.4</f>
        <v>203.2</v>
      </c>
      <c r="H7" s="86">
        <f>219.08/1000</f>
        <v>0.21908000000000002</v>
      </c>
    </row>
    <row r="8" spans="1:8">
      <c r="A8" s="86">
        <v>48</v>
      </c>
      <c r="B8" s="86">
        <v>1200</v>
      </c>
      <c r="C8" s="86">
        <v>1.325</v>
      </c>
      <c r="D8" s="86">
        <v>74.8</v>
      </c>
      <c r="F8" s="86">
        <v>6</v>
      </c>
      <c r="G8" s="86">
        <f>F8*25.4</f>
        <v>152.39999999999998</v>
      </c>
      <c r="H8" s="86">
        <f>168.28/1000</f>
        <v>0.16828000000000001</v>
      </c>
    </row>
    <row r="9" spans="1:8">
      <c r="A9" s="86">
        <v>45</v>
      </c>
      <c r="B9" s="86">
        <v>1180</v>
      </c>
      <c r="C9" s="86">
        <v>1.242</v>
      </c>
      <c r="D9" s="86">
        <v>71.540000000000006</v>
      </c>
      <c r="F9" s="86">
        <v>4</v>
      </c>
      <c r="G9" s="86">
        <f>F9*25.4</f>
        <v>101.6</v>
      </c>
      <c r="H9" s="86">
        <v>0.1143</v>
      </c>
    </row>
    <row r="10" spans="1:8">
      <c r="A10" s="86">
        <v>42</v>
      </c>
      <c r="B10" s="86">
        <v>1100</v>
      </c>
      <c r="C10" s="89">
        <v>1.149</v>
      </c>
      <c r="D10" s="86">
        <v>61.63</v>
      </c>
    </row>
    <row r="11" spans="1:8">
      <c r="A11" s="222">
        <v>39</v>
      </c>
      <c r="B11" s="222">
        <v>1000</v>
      </c>
      <c r="C11" s="223">
        <v>1.0649999999999999</v>
      </c>
      <c r="D11" s="222">
        <v>57.65</v>
      </c>
    </row>
    <row r="12" spans="1:8">
      <c r="A12" s="222">
        <v>36</v>
      </c>
      <c r="B12" s="222">
        <v>900</v>
      </c>
      <c r="C12" s="223">
        <v>0.98</v>
      </c>
      <c r="D12" s="224">
        <v>52.99</v>
      </c>
    </row>
    <row r="13" spans="1:8">
      <c r="A13" s="222">
        <v>33</v>
      </c>
      <c r="B13" s="222">
        <v>850</v>
      </c>
      <c r="C13" s="223">
        <v>0.89800000000000002</v>
      </c>
      <c r="D13" s="222">
        <v>42.68</v>
      </c>
    </row>
    <row r="14" spans="1:8">
      <c r="A14" s="222">
        <v>30</v>
      </c>
      <c r="B14" s="222">
        <v>800</v>
      </c>
      <c r="C14" s="223">
        <v>0.81299999999999994</v>
      </c>
      <c r="D14" s="222">
        <v>32.75</v>
      </c>
    </row>
    <row r="15" spans="1:8">
      <c r="A15" s="222">
        <v>27</v>
      </c>
      <c r="B15" s="222">
        <v>700</v>
      </c>
      <c r="C15" s="223">
        <v>0.73</v>
      </c>
      <c r="D15" s="222">
        <v>24.82</v>
      </c>
    </row>
    <row r="16" spans="1:8">
      <c r="A16" s="222">
        <v>24</v>
      </c>
      <c r="B16" s="222">
        <v>600</v>
      </c>
      <c r="C16" s="223">
        <v>0.65</v>
      </c>
      <c r="D16" s="222">
        <v>20.49</v>
      </c>
    </row>
    <row r="17" spans="1:4">
      <c r="A17" s="222">
        <v>20</v>
      </c>
      <c r="B17" s="222">
        <v>500</v>
      </c>
      <c r="C17" s="223">
        <v>0.50800000000000001</v>
      </c>
      <c r="D17" s="222">
        <v>19</v>
      </c>
    </row>
    <row r="18" spans="1:4">
      <c r="A18" s="222">
        <v>18</v>
      </c>
      <c r="B18" s="222">
        <v>450</v>
      </c>
      <c r="C18" s="223">
        <v>0.45700000000000002</v>
      </c>
      <c r="D18" s="222">
        <v>14.59</v>
      </c>
    </row>
    <row r="19" spans="1:4">
      <c r="A19" s="222">
        <v>16</v>
      </c>
      <c r="B19" s="222">
        <v>400</v>
      </c>
      <c r="C19" s="223">
        <v>0.40600000000000003</v>
      </c>
      <c r="D19" s="222">
        <v>11.38</v>
      </c>
    </row>
    <row r="20" spans="1:4">
      <c r="A20" s="222">
        <v>14</v>
      </c>
      <c r="B20" s="222">
        <v>355</v>
      </c>
      <c r="C20" s="223">
        <v>0.35599999999999998</v>
      </c>
      <c r="D20" s="222">
        <v>9.33</v>
      </c>
    </row>
    <row r="21" spans="1:4">
      <c r="A21" s="222">
        <v>12</v>
      </c>
      <c r="B21" s="222">
        <v>315</v>
      </c>
      <c r="C21" s="223">
        <v>0.32400000000000001</v>
      </c>
      <c r="D21" s="222">
        <v>6.34</v>
      </c>
    </row>
    <row r="22" spans="1:4">
      <c r="A22" s="222">
        <v>10</v>
      </c>
      <c r="B22" s="222">
        <v>250</v>
      </c>
      <c r="C22" s="223">
        <v>0.2732</v>
      </c>
      <c r="D22" s="222">
        <v>4.41</v>
      </c>
    </row>
    <row r="23" spans="1:4">
      <c r="A23" s="222">
        <v>8</v>
      </c>
      <c r="B23" s="222">
        <v>200</v>
      </c>
      <c r="C23" s="223">
        <v>0.219</v>
      </c>
      <c r="D23" s="222">
        <v>3.02</v>
      </c>
    </row>
    <row r="24" spans="1:4">
      <c r="A24" s="222">
        <v>6</v>
      </c>
      <c r="B24" s="222">
        <v>160</v>
      </c>
      <c r="C24" s="223">
        <v>0.16800000000000001</v>
      </c>
      <c r="D24" s="222">
        <v>2.13</v>
      </c>
    </row>
    <row r="25" spans="1:4">
      <c r="A25" s="86">
        <v>4</v>
      </c>
      <c r="B25" s="86">
        <v>110</v>
      </c>
      <c r="C25" s="89">
        <v>0.114</v>
      </c>
      <c r="D25" s="86">
        <v>1.1100000000000001</v>
      </c>
    </row>
    <row r="37" spans="5:5">
      <c r="E37" t="e">
        <f ca="1">+INDICA(Especificaciones!C5:C25)</f>
        <v>#NAME?</v>
      </c>
    </row>
  </sheetData>
  <autoFilter ref="F3:H4" xr:uid="{00000000-0009-0000-0000-000009000000}">
    <sortState xmlns:xlrd2="http://schemas.microsoft.com/office/spreadsheetml/2017/richdata2" ref="F4:H9">
      <sortCondition descending="1" ref="F3:F4"/>
    </sortState>
  </autoFilter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59999389629810485"/>
    <pageSetUpPr fitToPage="1"/>
  </sheetPr>
  <dimension ref="A2:IF297"/>
  <sheetViews>
    <sheetView view="pageBreakPreview" topLeftCell="A251" zoomScale="90" zoomScaleNormal="90" zoomScaleSheetLayoutView="90" workbookViewId="0">
      <selection activeCell="P269" sqref="P269"/>
    </sheetView>
  </sheetViews>
  <sheetFormatPr baseColWidth="10" defaultColWidth="11.42578125" defaultRowHeight="12"/>
  <cols>
    <col min="1" max="2" width="9.140625" style="17" customWidth="1"/>
    <col min="3" max="3" width="9.5703125" style="17" customWidth="1"/>
    <col min="4" max="4" width="9.28515625" style="17" customWidth="1"/>
    <col min="5" max="5" width="12.140625" style="17" customWidth="1"/>
    <col min="6" max="6" width="11.85546875" style="17" customWidth="1"/>
    <col min="7" max="7" width="14.42578125" style="17" customWidth="1"/>
    <col min="8" max="8" width="12.7109375" style="17" customWidth="1"/>
    <col min="9" max="9" width="11.85546875" style="17" customWidth="1"/>
    <col min="10" max="10" width="12.28515625" style="17" customWidth="1"/>
    <col min="11" max="11" width="13.42578125" style="17" customWidth="1"/>
    <col min="12" max="12" width="12.5703125" style="17" customWidth="1"/>
    <col min="13" max="13" width="12.85546875" style="17" customWidth="1"/>
    <col min="14" max="14" width="11.42578125" style="17"/>
    <col min="15" max="16" width="11.85546875" style="17" bestFit="1" customWidth="1"/>
    <col min="17" max="17" width="11.85546875" style="17" customWidth="1"/>
    <col min="18" max="18" width="11.85546875" style="17" bestFit="1" customWidth="1"/>
    <col min="19" max="19" width="16.28515625" style="17" bestFit="1" customWidth="1"/>
    <col min="20" max="20" width="11.85546875" style="17" bestFit="1" customWidth="1"/>
    <col min="21" max="21" width="15.140625" style="17" customWidth="1"/>
    <col min="22" max="22" width="11.5703125" style="17" bestFit="1" customWidth="1"/>
    <col min="23" max="23" width="15" style="17" customWidth="1"/>
    <col min="24" max="24" width="11.5703125" style="17" bestFit="1" customWidth="1"/>
    <col min="25" max="16384" width="11.42578125" style="17"/>
  </cols>
  <sheetData>
    <row r="2" spans="1:13" ht="12.75" customHeight="1">
      <c r="A2" s="302" t="s">
        <v>236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3" spans="1:13" s="56" customFormat="1" ht="12.75" customHeight="1">
      <c r="A3" s="303" t="s">
        <v>381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</row>
    <row r="4" spans="1:13" s="56" customFormat="1" ht="12.75" customHeight="1">
      <c r="A4" s="303" t="s">
        <v>235</v>
      </c>
      <c r="B4" s="303"/>
      <c r="C4" s="303"/>
      <c r="D4" s="303"/>
      <c r="E4" s="303"/>
      <c r="F4" s="303"/>
      <c r="G4" s="303"/>
      <c r="H4" s="303"/>
      <c r="I4" s="303"/>
      <c r="J4" s="303"/>
      <c r="K4" s="303"/>
      <c r="L4" s="303"/>
      <c r="M4" s="303"/>
    </row>
    <row r="6" spans="1:13">
      <c r="A6" s="19" t="s">
        <v>78</v>
      </c>
    </row>
    <row r="8" spans="1:13">
      <c r="A8" s="19" t="s">
        <v>0</v>
      </c>
    </row>
    <row r="9" spans="1:13">
      <c r="A9" s="19"/>
    </row>
    <row r="10" spans="1:13">
      <c r="A10" s="19" t="s">
        <v>1</v>
      </c>
    </row>
    <row r="11" spans="1:13" ht="12.75" customHeight="1"/>
    <row r="12" spans="1:13" ht="12.75" customHeight="1"/>
    <row r="13" spans="1:13" ht="12.75" customHeight="1"/>
    <row r="14" spans="1:13">
      <c r="E14" s="20"/>
      <c r="F14" s="20"/>
      <c r="G14" s="18"/>
    </row>
    <row r="15" spans="1:13">
      <c r="D15" s="17" t="s">
        <v>2</v>
      </c>
    </row>
    <row r="16" spans="1:13">
      <c r="E16" s="20"/>
      <c r="F16" s="20"/>
      <c r="G16" s="18"/>
    </row>
    <row r="17" spans="1:15">
      <c r="E17" s="20"/>
      <c r="F17" s="20"/>
      <c r="G17" s="18"/>
    </row>
    <row r="18" spans="1:15">
      <c r="E18" s="20"/>
      <c r="F18" s="20"/>
      <c r="G18" s="18"/>
    </row>
    <row r="19" spans="1:15">
      <c r="E19" s="20"/>
      <c r="F19" s="20"/>
      <c r="G19" s="18"/>
    </row>
    <row r="20" spans="1:15">
      <c r="E20" s="20"/>
      <c r="F20" s="20"/>
      <c r="G20" s="18"/>
    </row>
    <row r="21" spans="1:15">
      <c r="E21" s="20"/>
      <c r="F21" s="20"/>
      <c r="G21" s="18"/>
    </row>
    <row r="22" spans="1:15">
      <c r="E22" s="20"/>
      <c r="F22" s="20"/>
      <c r="G22" s="18"/>
    </row>
    <row r="23" spans="1:15">
      <c r="E23" s="20"/>
      <c r="F23" s="20"/>
      <c r="G23" s="18"/>
    </row>
    <row r="24" spans="1:15" ht="7.5" customHeight="1">
      <c r="E24" s="20"/>
      <c r="F24" s="20"/>
      <c r="G24" s="18"/>
    </row>
    <row r="26" spans="1:15">
      <c r="A26" s="19" t="s">
        <v>3</v>
      </c>
      <c r="G26" s="18"/>
    </row>
    <row r="27" spans="1:15">
      <c r="G27" s="18"/>
    </row>
    <row r="28" spans="1:15">
      <c r="G28" s="18"/>
    </row>
    <row r="29" spans="1:15">
      <c r="G29" s="18"/>
    </row>
    <row r="30" spans="1:15">
      <c r="E30" s="20"/>
      <c r="F30" s="20"/>
      <c r="G30" s="18"/>
    </row>
    <row r="31" spans="1:15">
      <c r="D31" s="17" t="s">
        <v>2</v>
      </c>
      <c r="G31" s="18"/>
      <c r="N31" s="29"/>
      <c r="O31" s="29"/>
    </row>
    <row r="32" spans="1:15">
      <c r="G32" s="18"/>
      <c r="N32" s="29"/>
      <c r="O32" s="29"/>
    </row>
    <row r="33" spans="1:22">
      <c r="E33" s="20"/>
      <c r="F33" s="20"/>
      <c r="G33" s="18"/>
      <c r="N33" s="29"/>
      <c r="O33" s="29"/>
    </row>
    <row r="34" spans="1:22" ht="18.75" customHeight="1">
      <c r="E34" s="22"/>
      <c r="F34" s="22"/>
      <c r="G34" s="18"/>
      <c r="N34" s="29"/>
      <c r="O34" s="29"/>
    </row>
    <row r="35" spans="1:22">
      <c r="A35" s="17" t="s">
        <v>4</v>
      </c>
      <c r="N35" s="29"/>
      <c r="O35" s="29"/>
    </row>
    <row r="36" spans="1:22" ht="16.5" customHeight="1">
      <c r="N36" s="29"/>
      <c r="O36" s="29"/>
    </row>
    <row r="37" spans="1:22">
      <c r="C37" s="23" t="s">
        <v>96</v>
      </c>
      <c r="D37" s="41">
        <v>30</v>
      </c>
      <c r="E37" s="130"/>
      <c r="F37" s="131" t="s">
        <v>97</v>
      </c>
      <c r="G37" s="132">
        <f>D37*PI()/180</f>
        <v>0.52359877559829882</v>
      </c>
      <c r="K37" s="26"/>
    </row>
    <row r="38" spans="1:22" ht="13.5">
      <c r="C38" s="27" t="s">
        <v>5</v>
      </c>
      <c r="D38" s="132">
        <f>(TAN(PI()/4-G37/2))^2</f>
        <v>0.33333333333333343</v>
      </c>
      <c r="E38" s="130"/>
      <c r="F38" s="131" t="s">
        <v>98</v>
      </c>
      <c r="G38" s="54">
        <v>20</v>
      </c>
      <c r="K38" s="26"/>
    </row>
    <row r="39" spans="1:22">
      <c r="C39" s="23" t="s">
        <v>99</v>
      </c>
      <c r="D39" s="25">
        <f>TAN(G37)</f>
        <v>0.57735026918962573</v>
      </c>
      <c r="E39" s="24"/>
      <c r="K39" s="26"/>
    </row>
    <row r="40" spans="1:22">
      <c r="R40" s="97" t="s">
        <v>390</v>
      </c>
    </row>
    <row r="41" spans="1:22" s="31" customFormat="1" ht="29.25" customHeight="1">
      <c r="A41" s="168"/>
      <c r="B41" s="138" t="s">
        <v>128</v>
      </c>
      <c r="C41" s="136" t="s">
        <v>129</v>
      </c>
      <c r="D41" s="136" t="s">
        <v>130</v>
      </c>
      <c r="E41" s="136" t="s">
        <v>209</v>
      </c>
      <c r="F41" s="136" t="s">
        <v>208</v>
      </c>
      <c r="G41" s="136" t="s">
        <v>223</v>
      </c>
      <c r="H41" s="136" t="s">
        <v>207</v>
      </c>
      <c r="I41" s="136" t="s">
        <v>205</v>
      </c>
      <c r="J41" s="122" t="s">
        <v>10</v>
      </c>
      <c r="K41" s="136" t="s">
        <v>206</v>
      </c>
      <c r="L41" s="136" t="s">
        <v>202</v>
      </c>
      <c r="O41" s="137" t="s">
        <v>203</v>
      </c>
      <c r="P41" s="137" t="s">
        <v>389</v>
      </c>
      <c r="Q41" s="137" t="s">
        <v>12</v>
      </c>
      <c r="R41" s="254" t="s">
        <v>388</v>
      </c>
      <c r="S41" s="94"/>
      <c r="V41" s="17"/>
    </row>
    <row r="42" spans="1:22" ht="13.5" customHeight="1">
      <c r="A42" s="169"/>
      <c r="B42" s="53" t="s">
        <v>138</v>
      </c>
      <c r="C42" s="133" t="s">
        <v>139</v>
      </c>
      <c r="D42" s="53">
        <v>38.74</v>
      </c>
      <c r="E42" s="55">
        <v>24</v>
      </c>
      <c r="F42" s="134">
        <f>+INDEX(Especificaciones!$C$5:$C$25,MATCH('Flexible - 20 julio'!O42,Especificaciones!$B$5:$B$25,-1))</f>
        <v>0.73</v>
      </c>
      <c r="G42" s="53">
        <v>2611.9</v>
      </c>
      <c r="H42" s="53">
        <v>2.2799999999999998</v>
      </c>
      <c r="I42" s="53">
        <v>1.325</v>
      </c>
      <c r="J42" s="32">
        <f t="shared" ref="J42:J48" si="0">IF(I42&gt;=2*F42,H42/F42,(1-EXP(-2*$D$38*$D$39*H42/I42))/(2*$D$38*$D$39))</f>
        <v>1.2583671753555912</v>
      </c>
      <c r="K42" s="135">
        <f t="shared" ref="K42:K48" si="1">IF(I42&gt;=2*F42,J42*$G$38*F42^2,J42*$G$38*I42*F42)</f>
        <v>24.343113007253908</v>
      </c>
      <c r="L42" s="135" t="s">
        <v>17</v>
      </c>
      <c r="N42" s="38"/>
      <c r="O42" s="55">
        <v>609.59999999999991</v>
      </c>
      <c r="P42" s="21">
        <f t="shared" ref="P42:P48" si="2">+F42+H42+0.1</f>
        <v>3.11</v>
      </c>
      <c r="Q42" s="21">
        <f>P42*1.5</f>
        <v>4.665</v>
      </c>
      <c r="R42" s="260">
        <f>+P42*I42*D42</f>
        <v>159.637855</v>
      </c>
      <c r="S42" s="14"/>
      <c r="T42" s="29"/>
      <c r="U42" s="14"/>
      <c r="V42" s="29"/>
    </row>
    <row r="43" spans="1:22" ht="13.5" customHeight="1">
      <c r="A43" s="169"/>
      <c r="B43" s="53" t="s">
        <v>139</v>
      </c>
      <c r="C43" s="133" t="s">
        <v>140</v>
      </c>
      <c r="D43" s="53">
        <v>54.97</v>
      </c>
      <c r="E43" s="55">
        <v>24</v>
      </c>
      <c r="F43" s="134">
        <f>+INDEX(Especificaciones!$C$5:$C$25,MATCH('Flexible - 20 julio'!O43,Especificaciones!$B$5:$B$25,-1))</f>
        <v>0.73</v>
      </c>
      <c r="G43" s="53">
        <v>2611.13</v>
      </c>
      <c r="H43" s="53">
        <v>1.97</v>
      </c>
      <c r="I43" s="53">
        <v>1.325</v>
      </c>
      <c r="J43" s="32">
        <f t="shared" si="0"/>
        <v>1.1321246368376445</v>
      </c>
      <c r="K43" s="135">
        <f t="shared" si="1"/>
        <v>21.900951099624233</v>
      </c>
      <c r="L43" s="135" t="s">
        <v>17</v>
      </c>
      <c r="N43" s="38"/>
      <c r="O43" s="55">
        <v>609.59999999999991</v>
      </c>
      <c r="P43" s="21">
        <f t="shared" si="2"/>
        <v>2.8000000000000003</v>
      </c>
      <c r="Q43" s="21">
        <f t="shared" ref="Q43:Q54" si="3">P43*1.5</f>
        <v>4.2</v>
      </c>
      <c r="R43" s="260">
        <f t="shared" ref="R43:R54" si="4">+P43*I43*D43</f>
        <v>203.93870000000001</v>
      </c>
      <c r="S43" s="14"/>
      <c r="T43" s="29"/>
      <c r="U43" s="14"/>
      <c r="V43" s="29"/>
    </row>
    <row r="44" spans="1:22" ht="13.5" customHeight="1">
      <c r="A44" s="169"/>
      <c r="B44" s="53" t="s">
        <v>140</v>
      </c>
      <c r="C44" s="133" t="s">
        <v>141</v>
      </c>
      <c r="D44" s="53">
        <v>7.6</v>
      </c>
      <c r="E44" s="55">
        <v>24</v>
      </c>
      <c r="F44" s="134">
        <f>+INDEX(Especificaciones!$C$5:$C$25,MATCH('Flexible - 20 julio'!O44,Especificaciones!$B$5:$B$25,-1))</f>
        <v>0.73</v>
      </c>
      <c r="G44" s="53">
        <v>2610.0300000000002</v>
      </c>
      <c r="H44" s="53">
        <v>1.42</v>
      </c>
      <c r="I44" s="53">
        <v>1.325</v>
      </c>
      <c r="J44" s="32">
        <f t="shared" si="0"/>
        <v>0.8781619245290162</v>
      </c>
      <c r="K44" s="135">
        <f t="shared" si="1"/>
        <v>16.98804243001382</v>
      </c>
      <c r="L44" s="135" t="s">
        <v>17</v>
      </c>
      <c r="N44" s="38"/>
      <c r="O44" s="55">
        <v>609.59999999999991</v>
      </c>
      <c r="P44" s="21">
        <f t="shared" si="2"/>
        <v>2.25</v>
      </c>
      <c r="Q44" s="21">
        <f t="shared" si="3"/>
        <v>3.375</v>
      </c>
      <c r="R44" s="260">
        <f t="shared" si="4"/>
        <v>22.657499999999995</v>
      </c>
      <c r="S44" s="14"/>
      <c r="T44" s="29"/>
      <c r="U44" s="14"/>
      <c r="V44" s="29"/>
    </row>
    <row r="45" spans="1:22" ht="13.5" customHeight="1">
      <c r="A45" s="169"/>
      <c r="B45" s="53" t="s">
        <v>141</v>
      </c>
      <c r="C45" s="133">
        <v>117577</v>
      </c>
      <c r="D45" s="53">
        <v>29.84</v>
      </c>
      <c r="E45" s="55">
        <v>24</v>
      </c>
      <c r="F45" s="134">
        <f>+INDEX(Especificaciones!$C$5:$C$25,MATCH('Flexible - 20 julio'!O45,Especificaciones!$B$5:$B$25,-1))</f>
        <v>0.73</v>
      </c>
      <c r="G45" s="53">
        <v>2609.9499999999998</v>
      </c>
      <c r="H45" s="53">
        <v>1.87</v>
      </c>
      <c r="I45" s="53">
        <v>1.325</v>
      </c>
      <c r="J45" s="32">
        <f t="shared" si="0"/>
        <v>1.0889155533175465</v>
      </c>
      <c r="K45" s="135">
        <f t="shared" si="1"/>
        <v>21.065071378927936</v>
      </c>
      <c r="L45" s="135" t="s">
        <v>17</v>
      </c>
      <c r="N45" s="38"/>
      <c r="O45" s="55">
        <v>609.59999999999991</v>
      </c>
      <c r="P45" s="21">
        <f t="shared" si="2"/>
        <v>2.7</v>
      </c>
      <c r="Q45" s="21">
        <f t="shared" si="3"/>
        <v>4.0500000000000007</v>
      </c>
      <c r="R45" s="260">
        <f t="shared" si="4"/>
        <v>106.7526</v>
      </c>
      <c r="S45" s="14"/>
      <c r="T45" s="29"/>
      <c r="U45" s="14"/>
      <c r="V45" s="29"/>
    </row>
    <row r="46" spans="1:22" ht="13.5" customHeight="1">
      <c r="A46" s="169"/>
      <c r="B46" s="53" t="s">
        <v>142</v>
      </c>
      <c r="C46" s="133" t="s">
        <v>141</v>
      </c>
      <c r="D46" s="53">
        <v>6.02</v>
      </c>
      <c r="E46" s="55">
        <v>10</v>
      </c>
      <c r="F46" s="134">
        <v>0.27</v>
      </c>
      <c r="G46" s="53">
        <v>2610.04</v>
      </c>
      <c r="H46" s="53">
        <v>1.4</v>
      </c>
      <c r="I46" s="53">
        <v>1</v>
      </c>
      <c r="J46" s="32">
        <f t="shared" si="0"/>
        <v>5.1851851851851842</v>
      </c>
      <c r="K46" s="135">
        <f t="shared" si="1"/>
        <v>7.5599999999999987</v>
      </c>
      <c r="L46" s="135" t="s">
        <v>17</v>
      </c>
      <c r="N46" s="38"/>
      <c r="O46" s="55">
        <v>254</v>
      </c>
      <c r="P46" s="21">
        <f t="shared" si="2"/>
        <v>1.77</v>
      </c>
      <c r="Q46" s="21">
        <f t="shared" si="3"/>
        <v>2.6550000000000002</v>
      </c>
      <c r="R46" s="260">
        <f t="shared" si="4"/>
        <v>10.6554</v>
      </c>
      <c r="S46" s="14"/>
      <c r="T46" s="29"/>
      <c r="U46" s="14"/>
      <c r="V46" s="29"/>
    </row>
    <row r="47" spans="1:22" ht="13.5" customHeight="1">
      <c r="A47" s="169"/>
      <c r="B47" s="53" t="s">
        <v>143</v>
      </c>
      <c r="C47" s="133" t="s">
        <v>144</v>
      </c>
      <c r="D47" s="53">
        <v>21.39</v>
      </c>
      <c r="E47" s="55">
        <v>10</v>
      </c>
      <c r="F47" s="134">
        <v>0.27</v>
      </c>
      <c r="G47" s="53">
        <v>2611.12</v>
      </c>
      <c r="H47" s="53">
        <v>1</v>
      </c>
      <c r="I47" s="53">
        <v>1</v>
      </c>
      <c r="J47" s="32">
        <f t="shared" si="0"/>
        <v>3.7037037037037033</v>
      </c>
      <c r="K47" s="135">
        <f t="shared" si="1"/>
        <v>5.3999999999999995</v>
      </c>
      <c r="L47" s="135" t="s">
        <v>17</v>
      </c>
      <c r="N47" s="38"/>
      <c r="O47" s="55">
        <v>254</v>
      </c>
      <c r="P47" s="21">
        <f t="shared" si="2"/>
        <v>1.37</v>
      </c>
      <c r="Q47" s="21">
        <f t="shared" si="3"/>
        <v>2.0550000000000002</v>
      </c>
      <c r="R47" s="260">
        <f t="shared" si="4"/>
        <v>29.304300000000001</v>
      </c>
      <c r="S47" s="14"/>
      <c r="T47" s="29"/>
      <c r="U47" s="14"/>
      <c r="V47" s="29"/>
    </row>
    <row r="48" spans="1:22" ht="13.5" customHeight="1">
      <c r="A48" s="169"/>
      <c r="B48" s="53" t="s">
        <v>144</v>
      </c>
      <c r="C48" s="133">
        <v>117576</v>
      </c>
      <c r="D48" s="53">
        <v>8.1999999999999993</v>
      </c>
      <c r="E48" s="55">
        <v>10</v>
      </c>
      <c r="F48" s="134">
        <v>0.27</v>
      </c>
      <c r="G48" s="53">
        <v>2610.8200000000002</v>
      </c>
      <c r="H48" s="53">
        <v>0.9</v>
      </c>
      <c r="I48" s="53">
        <v>1</v>
      </c>
      <c r="J48" s="32">
        <f t="shared" si="0"/>
        <v>3.333333333333333</v>
      </c>
      <c r="K48" s="135">
        <f t="shared" si="1"/>
        <v>4.8599999999999994</v>
      </c>
      <c r="L48" s="135" t="s">
        <v>17</v>
      </c>
      <c r="N48" s="38"/>
      <c r="O48" s="55">
        <v>254</v>
      </c>
      <c r="P48" s="21">
        <f t="shared" si="2"/>
        <v>1.27</v>
      </c>
      <c r="Q48" s="21">
        <f t="shared" si="3"/>
        <v>1.905</v>
      </c>
      <c r="R48" s="260">
        <f t="shared" si="4"/>
        <v>10.414</v>
      </c>
      <c r="S48" s="14"/>
      <c r="T48" s="29"/>
      <c r="U48" s="14"/>
      <c r="V48" s="29"/>
    </row>
    <row r="49" spans="1:26" ht="13.5" customHeight="1">
      <c r="A49" s="169"/>
      <c r="B49" s="304" t="s">
        <v>245</v>
      </c>
      <c r="C49" s="305"/>
      <c r="D49" s="305"/>
      <c r="E49" s="305"/>
      <c r="F49" s="305"/>
      <c r="G49" s="305"/>
      <c r="H49" s="305"/>
      <c r="I49" s="305"/>
      <c r="J49" s="305"/>
      <c r="K49" s="305"/>
      <c r="L49" s="306"/>
      <c r="N49" s="38"/>
      <c r="O49" s="207"/>
      <c r="P49" s="21"/>
      <c r="Q49" s="21"/>
      <c r="R49" s="260"/>
      <c r="S49" s="14"/>
      <c r="T49" s="29"/>
      <c r="U49" s="14"/>
      <c r="V49" s="29"/>
    </row>
    <row r="50" spans="1:26" ht="13.5" customHeight="1">
      <c r="A50" s="169"/>
      <c r="B50" s="53" t="s">
        <v>246</v>
      </c>
      <c r="C50" s="133" t="s">
        <v>139</v>
      </c>
      <c r="D50" s="53">
        <v>6.2</v>
      </c>
      <c r="E50" s="55">
        <v>10</v>
      </c>
      <c r="F50" s="134">
        <f>+INDEX(Especificaciones!$C$5:$C$25,MATCH('Flexible - 20 julio'!O50,Especificaciones!$B$5:$B$25,-1))</f>
        <v>0.2732</v>
      </c>
      <c r="G50" s="53">
        <v>2612.0500000000002</v>
      </c>
      <c r="H50" s="53">
        <v>1.17</v>
      </c>
      <c r="I50" s="53">
        <v>1</v>
      </c>
      <c r="J50" s="32">
        <f>IF(I50&gt;=2*F50,H50/F50,(1-EXP(-2*$D$38*$D$39*H50/I50))/(2*$D$38*$D$39))</f>
        <v>4.2825768667642752</v>
      </c>
      <c r="K50" s="135">
        <f>IF(I50&gt;=2*F50,J50*$G$38*F50^2,J50*$G$38*I50*F50)</f>
        <v>6.392879999999999</v>
      </c>
      <c r="L50" s="135" t="s">
        <v>17</v>
      </c>
      <c r="N50" s="38"/>
      <c r="O50" s="55">
        <v>250</v>
      </c>
      <c r="P50" s="21">
        <f>+F50+H50+0.1</f>
        <v>1.5432000000000001</v>
      </c>
      <c r="Q50" s="21">
        <f>P50*1.5</f>
        <v>2.3148</v>
      </c>
      <c r="R50" s="260">
        <f t="shared" si="4"/>
        <v>9.5678400000000003</v>
      </c>
      <c r="S50" s="14"/>
      <c r="T50" s="29"/>
      <c r="U50" s="14"/>
      <c r="V50" s="29"/>
    </row>
    <row r="51" spans="1:26" ht="13.5" customHeight="1">
      <c r="A51" s="169"/>
      <c r="B51" s="53" t="s">
        <v>247</v>
      </c>
      <c r="C51" s="133">
        <v>117578</v>
      </c>
      <c r="D51" s="53">
        <v>7.5</v>
      </c>
      <c r="E51" s="55">
        <v>10</v>
      </c>
      <c r="F51" s="134">
        <f>+INDEX(Especificaciones!$C$5:$C$25,MATCH('Flexible - 20 julio'!O51,Especificaciones!$B$5:$B$25,-1))</f>
        <v>0.2732</v>
      </c>
      <c r="G51" s="53">
        <v>2609.6799999999998</v>
      </c>
      <c r="H51" s="53">
        <v>1.19</v>
      </c>
      <c r="I51" s="53">
        <v>1</v>
      </c>
      <c r="J51" s="32">
        <f>IF(I51&gt;=2*F51,H51/F51,(1-EXP(-2*$D$38*$D$39*H51/I51))/(2*$D$38*$D$39))</f>
        <v>4.3557833089311861</v>
      </c>
      <c r="K51" s="135">
        <f>IF(I51&gt;=2*F51,J51*$G$38*F51^2,J51*$G$38*I51*F51)</f>
        <v>6.5021599999999999</v>
      </c>
      <c r="L51" s="135" t="s">
        <v>17</v>
      </c>
      <c r="N51" s="38"/>
      <c r="O51" s="55">
        <v>250</v>
      </c>
      <c r="P51" s="21">
        <f>+F51+H51+0.1</f>
        <v>1.5632000000000001</v>
      </c>
      <c r="Q51" s="21">
        <f t="shared" si="3"/>
        <v>2.3448000000000002</v>
      </c>
      <c r="R51" s="260">
        <f t="shared" si="4"/>
        <v>11.724</v>
      </c>
      <c r="S51" s="14"/>
      <c r="T51" s="29"/>
      <c r="U51" s="14"/>
      <c r="V51" s="29"/>
    </row>
    <row r="52" spans="1:26" ht="13.5" customHeight="1">
      <c r="A52" s="169"/>
      <c r="B52" s="53" t="s">
        <v>248</v>
      </c>
      <c r="C52" s="133" t="s">
        <v>143</v>
      </c>
      <c r="D52" s="53">
        <v>4</v>
      </c>
      <c r="E52" s="55">
        <v>10</v>
      </c>
      <c r="F52" s="134">
        <f>+INDEX(Especificaciones!$C$5:$C$25,MATCH('Flexible - 20 julio'!O52,Especificaciones!$B$5:$B$25,-1))</f>
        <v>0.2732</v>
      </c>
      <c r="G52" s="53">
        <v>2611.13</v>
      </c>
      <c r="H52" s="53">
        <v>1.07</v>
      </c>
      <c r="I52" s="53">
        <v>1</v>
      </c>
      <c r="J52" s="32">
        <f>IF(I52&gt;=2*F52,H52/F52,(1-EXP(-2*$D$38*$D$39*H52/I52))/(2*$D$38*$D$39))</f>
        <v>3.9165446559297221</v>
      </c>
      <c r="K52" s="135">
        <f>IF(I52&gt;=2*F52,J52*$G$38*F52^2,J52*$G$38*I52*F52)</f>
        <v>5.8464800000000006</v>
      </c>
      <c r="L52" s="135" t="s">
        <v>17</v>
      </c>
      <c r="N52" s="38"/>
      <c r="O52" s="55">
        <v>250</v>
      </c>
      <c r="P52" s="21">
        <f>+F52+H52+0.1</f>
        <v>1.4432</v>
      </c>
      <c r="Q52" s="21">
        <f t="shared" si="3"/>
        <v>2.1648000000000001</v>
      </c>
      <c r="R52" s="260">
        <f t="shared" si="4"/>
        <v>5.7728000000000002</v>
      </c>
      <c r="S52" s="14"/>
      <c r="T52" s="29"/>
      <c r="U52" s="14"/>
      <c r="V52" s="29"/>
    </row>
    <row r="53" spans="1:26" ht="13.5" customHeight="1">
      <c r="A53" s="169"/>
      <c r="B53" s="53" t="s">
        <v>249</v>
      </c>
      <c r="C53" s="133" t="s">
        <v>143</v>
      </c>
      <c r="D53" s="53">
        <v>5.9</v>
      </c>
      <c r="E53" s="55">
        <v>10</v>
      </c>
      <c r="F53" s="134">
        <f>+INDEX(Especificaciones!$C$5:$C$25,MATCH('Flexible - 20 julio'!O53,Especificaciones!$B$5:$B$25,-1))</f>
        <v>0.2732</v>
      </c>
      <c r="G53" s="53">
        <v>2611.17</v>
      </c>
      <c r="H53" s="53">
        <v>1.07</v>
      </c>
      <c r="I53" s="53">
        <v>1</v>
      </c>
      <c r="J53" s="32">
        <f>IF(I53&gt;=2*F53,H53/F53,(1-EXP(-2*$D$38*$D$39*H53/I53))/(2*$D$38*$D$39))</f>
        <v>3.9165446559297221</v>
      </c>
      <c r="K53" s="135">
        <f>IF(I53&gt;=2*F53,J53*$G$38*F53^2,J53*$G$38*I53*F53)</f>
        <v>5.8464800000000006</v>
      </c>
      <c r="L53" s="135" t="s">
        <v>17</v>
      </c>
      <c r="N53" s="38"/>
      <c r="O53" s="55">
        <v>250</v>
      </c>
      <c r="P53" s="21">
        <f>+F53+H53+0.1</f>
        <v>1.4432</v>
      </c>
      <c r="Q53" s="21">
        <f t="shared" si="3"/>
        <v>2.1648000000000001</v>
      </c>
      <c r="R53" s="260">
        <f t="shared" si="4"/>
        <v>8.5148800000000016</v>
      </c>
      <c r="S53" s="14"/>
      <c r="T53" s="29"/>
      <c r="U53" s="14"/>
      <c r="V53" s="29"/>
    </row>
    <row r="54" spans="1:26" ht="13.5" customHeight="1">
      <c r="A54" s="169"/>
      <c r="B54" s="53" t="s">
        <v>250</v>
      </c>
      <c r="C54" s="133" t="s">
        <v>144</v>
      </c>
      <c r="D54" s="53">
        <v>5.6</v>
      </c>
      <c r="E54" s="55">
        <v>10</v>
      </c>
      <c r="F54" s="134">
        <f>+INDEX(Especificaciones!$C$5:$C$25,MATCH('Flexible - 20 julio'!O54,Especificaciones!$B$5:$B$25,-1))</f>
        <v>0.2732</v>
      </c>
      <c r="G54" s="53">
        <v>2610.64</v>
      </c>
      <c r="H54" s="53">
        <v>1.19</v>
      </c>
      <c r="I54" s="53">
        <v>1</v>
      </c>
      <c r="J54" s="32">
        <f>IF(I54&gt;=2*F54,H54/F54,(1-EXP(-2*$D$38*$D$39*H54/I54))/(2*$D$38*$D$39))</f>
        <v>4.3557833089311861</v>
      </c>
      <c r="K54" s="135">
        <f>IF(I54&gt;=2*F54,J54*$G$38*F54^2,J54*$G$38*I54*F54)</f>
        <v>6.5021599999999999</v>
      </c>
      <c r="L54" s="135" t="s">
        <v>17</v>
      </c>
      <c r="N54" s="38"/>
      <c r="O54" s="55">
        <v>250</v>
      </c>
      <c r="P54" s="21">
        <f>+F54+H54+0.1</f>
        <v>1.5632000000000001</v>
      </c>
      <c r="Q54" s="21">
        <f t="shared" si="3"/>
        <v>2.3448000000000002</v>
      </c>
      <c r="R54" s="260">
        <f t="shared" si="4"/>
        <v>8.7539200000000008</v>
      </c>
      <c r="S54" s="14"/>
      <c r="T54" s="29"/>
      <c r="U54" s="14"/>
      <c r="V54" s="29"/>
    </row>
    <row r="55" spans="1:26" ht="13.5" customHeight="1">
      <c r="A55" s="169"/>
      <c r="B55" s="60"/>
      <c r="C55" s="206"/>
      <c r="D55" s="60"/>
      <c r="E55" s="207"/>
      <c r="F55" s="34"/>
      <c r="G55" s="60"/>
      <c r="H55" s="60"/>
      <c r="I55" s="60"/>
      <c r="J55" s="60"/>
      <c r="K55" s="33"/>
      <c r="L55" s="36"/>
      <c r="M55" s="36"/>
      <c r="N55" s="38"/>
      <c r="O55" s="207"/>
      <c r="P55" s="35"/>
      <c r="Q55" s="35"/>
      <c r="R55" s="261">
        <f>+SUM(R42:R54)</f>
        <v>587.69379499999991</v>
      </c>
      <c r="S55" s="14"/>
      <c r="T55" s="29"/>
      <c r="U55" s="14"/>
      <c r="V55" s="29"/>
    </row>
    <row r="56" spans="1:26">
      <c r="A56" s="121"/>
      <c r="B56" s="121"/>
      <c r="C56" s="35"/>
      <c r="D56" s="71"/>
      <c r="E56" s="36"/>
      <c r="F56" s="35"/>
      <c r="H56" s="35"/>
      <c r="I56" s="35"/>
      <c r="J56" s="60"/>
      <c r="K56" s="36"/>
      <c r="L56" s="36"/>
      <c r="M56" s="37"/>
      <c r="N56" s="38"/>
      <c r="O56" s="36"/>
      <c r="P56" s="72"/>
      <c r="Q56" s="72"/>
    </row>
    <row r="57" spans="1:26">
      <c r="A57" s="19" t="s">
        <v>18</v>
      </c>
      <c r="B57" s="39"/>
      <c r="C57" s="19"/>
      <c r="D57" s="19"/>
      <c r="E57" s="19"/>
      <c r="F57" s="19"/>
      <c r="G57" s="19"/>
      <c r="H57" s="19"/>
      <c r="I57" s="19"/>
      <c r="J57" s="19"/>
      <c r="K57" s="19"/>
      <c r="L57" s="19"/>
    </row>
    <row r="58" spans="1:26">
      <c r="A58" s="19"/>
      <c r="B58" s="19"/>
      <c r="C58" s="19"/>
      <c r="D58" s="19"/>
      <c r="E58" s="40"/>
      <c r="F58" s="20"/>
      <c r="G58" s="40"/>
      <c r="H58" s="19"/>
      <c r="I58" s="19"/>
      <c r="J58" s="19"/>
      <c r="K58" s="19"/>
      <c r="L58" s="19"/>
    </row>
    <row r="59" spans="1:26">
      <c r="A59" s="19"/>
      <c r="B59" s="19"/>
      <c r="C59" s="19"/>
      <c r="H59" s="19"/>
      <c r="I59" s="19"/>
      <c r="J59" s="19"/>
      <c r="K59" s="19"/>
      <c r="L59" s="19"/>
      <c r="O59" s="29"/>
    </row>
    <row r="60" spans="1:26">
      <c r="A60" s="19"/>
      <c r="B60" s="19"/>
      <c r="C60" s="19"/>
      <c r="H60" s="19"/>
      <c r="I60" s="19"/>
      <c r="J60" s="19"/>
      <c r="K60" s="19"/>
      <c r="L60" s="19"/>
    </row>
    <row r="61" spans="1:26">
      <c r="B61" s="19"/>
      <c r="C61" s="19"/>
      <c r="H61" s="19"/>
      <c r="I61" s="19"/>
      <c r="J61" s="19"/>
      <c r="K61" s="19"/>
      <c r="L61" s="19"/>
    </row>
    <row r="62" spans="1:26" s="31" customFormat="1" ht="11.25" customHeight="1">
      <c r="A62" s="19"/>
      <c r="B62" s="19"/>
      <c r="C62" s="19"/>
      <c r="D62" s="17" t="s">
        <v>2</v>
      </c>
      <c r="E62" s="19"/>
      <c r="F62" s="19"/>
      <c r="G62" s="19"/>
      <c r="H62" s="19"/>
      <c r="I62" s="19"/>
      <c r="J62" s="19"/>
      <c r="K62" s="19"/>
      <c r="L62" s="19"/>
      <c r="M62" s="17"/>
      <c r="N62" s="17"/>
      <c r="P62" s="17"/>
      <c r="Q62" s="17"/>
      <c r="R62" s="17"/>
      <c r="S62" s="17"/>
      <c r="T62" s="17"/>
      <c r="U62" s="17"/>
      <c r="W62" s="17"/>
      <c r="X62" s="17"/>
      <c r="Y62" s="17"/>
      <c r="Z62" s="17"/>
    </row>
    <row r="63" spans="1:26" s="31" customFormat="1" ht="16.5" customHeight="1">
      <c r="A63" s="19"/>
      <c r="B63" s="19"/>
      <c r="C63" s="19"/>
      <c r="D63" s="17"/>
      <c r="E63" s="40"/>
      <c r="F63" s="40"/>
      <c r="G63" s="40"/>
      <c r="H63" s="19"/>
      <c r="I63" s="19"/>
      <c r="J63" s="19"/>
      <c r="K63" s="19"/>
      <c r="L63" s="19"/>
      <c r="M63" s="17"/>
      <c r="N63" s="17"/>
      <c r="P63" s="17"/>
      <c r="Q63" s="17"/>
      <c r="R63" s="17"/>
      <c r="S63" s="17"/>
      <c r="T63" s="17"/>
      <c r="U63" s="17"/>
      <c r="W63" s="17"/>
      <c r="X63" s="17"/>
      <c r="Y63" s="17"/>
      <c r="Z63" s="17"/>
    </row>
    <row r="64" spans="1:26" s="31" customFormat="1" ht="18.75" customHeight="1">
      <c r="A64" s="19"/>
      <c r="B64" s="19"/>
      <c r="C64" s="19"/>
      <c r="D64" s="17"/>
      <c r="E64" s="40"/>
      <c r="F64" s="40"/>
      <c r="G64" s="40"/>
      <c r="H64" s="19"/>
      <c r="I64" s="19"/>
      <c r="J64" s="19"/>
      <c r="K64" s="19"/>
      <c r="L64" s="19"/>
      <c r="M64" s="17"/>
      <c r="N64" s="17"/>
      <c r="P64" s="17"/>
      <c r="Q64" s="17"/>
      <c r="R64" s="17"/>
      <c r="S64" s="17"/>
      <c r="T64" s="17"/>
      <c r="U64" s="17"/>
      <c r="W64" s="17"/>
      <c r="X64" s="17"/>
      <c r="Y64" s="17"/>
      <c r="Z64" s="17"/>
    </row>
    <row r="65" spans="1:26" s="31" customFormat="1" ht="18.75" customHeight="1">
      <c r="A65" s="19"/>
      <c r="B65" s="19"/>
      <c r="C65" s="19"/>
      <c r="D65" s="17"/>
      <c r="E65" s="40"/>
      <c r="F65" s="40"/>
      <c r="G65" s="40"/>
      <c r="H65" s="19"/>
      <c r="I65" s="19"/>
      <c r="J65" s="19"/>
      <c r="K65" s="19"/>
      <c r="L65" s="19"/>
      <c r="M65" s="17"/>
      <c r="N65" s="17"/>
      <c r="P65" s="17"/>
      <c r="Q65" s="17"/>
      <c r="R65" s="17"/>
      <c r="S65" s="17"/>
      <c r="T65" s="17"/>
      <c r="U65" s="17"/>
      <c r="W65" s="17"/>
      <c r="X65" s="17"/>
      <c r="Y65" s="17"/>
      <c r="Z65" s="17"/>
    </row>
    <row r="66" spans="1:26" s="31" customFormat="1" ht="12.75" customHeight="1">
      <c r="A66" s="19"/>
      <c r="B66" s="19"/>
      <c r="C66" s="19"/>
      <c r="D66" s="19"/>
      <c r="E66" s="40"/>
      <c r="F66" s="40"/>
      <c r="G66" s="40"/>
      <c r="H66" s="19"/>
      <c r="I66" s="19"/>
      <c r="J66" s="19"/>
      <c r="K66" s="19"/>
      <c r="L66" s="19"/>
      <c r="M66" s="17"/>
      <c r="N66" s="17"/>
      <c r="P66" s="17"/>
      <c r="Q66" s="17"/>
      <c r="R66" s="17"/>
      <c r="S66" s="17"/>
      <c r="T66" s="17"/>
      <c r="U66" s="17"/>
      <c r="W66" s="17"/>
      <c r="X66" s="17"/>
      <c r="Y66" s="17"/>
      <c r="Z66" s="17"/>
    </row>
    <row r="67" spans="1:26" s="31" customFormat="1" ht="15" customHeight="1">
      <c r="A67" s="19"/>
      <c r="B67" s="19"/>
      <c r="C67" s="19"/>
      <c r="D67" s="19"/>
      <c r="E67" s="40"/>
      <c r="F67" s="40"/>
      <c r="G67" s="40"/>
      <c r="H67" s="19"/>
      <c r="I67" s="19"/>
      <c r="J67" s="19"/>
      <c r="K67" s="19"/>
      <c r="L67" s="19"/>
      <c r="M67" s="17"/>
      <c r="N67" s="17"/>
      <c r="P67" s="17"/>
      <c r="Q67" s="17"/>
      <c r="R67" s="17"/>
      <c r="S67" s="17"/>
      <c r="T67" s="17"/>
      <c r="U67" s="17"/>
      <c r="W67" s="17"/>
      <c r="X67" s="17"/>
      <c r="Y67" s="17"/>
      <c r="Z67" s="17"/>
    </row>
    <row r="68" spans="1:26" ht="7.5" customHeight="1">
      <c r="A68" s="19"/>
      <c r="B68" s="19"/>
      <c r="C68" s="19"/>
      <c r="D68" s="19"/>
      <c r="E68" s="40"/>
      <c r="F68" s="40"/>
      <c r="G68" s="40"/>
      <c r="H68" s="19"/>
      <c r="I68" s="19"/>
      <c r="J68" s="19"/>
      <c r="K68" s="19"/>
      <c r="L68" s="19"/>
      <c r="M68" s="19"/>
    </row>
    <row r="69" spans="1:26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</row>
    <row r="70" spans="1:26">
      <c r="A70" s="17" t="s">
        <v>19</v>
      </c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</row>
    <row r="71" spans="1:26"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</row>
    <row r="72" spans="1:26">
      <c r="C72" s="139" t="s">
        <v>20</v>
      </c>
      <c r="D72" s="41">
        <v>80</v>
      </c>
      <c r="F72" s="19"/>
      <c r="G72" s="19"/>
      <c r="H72" s="19"/>
      <c r="I72" s="19"/>
      <c r="J72" s="19"/>
      <c r="K72" s="19"/>
      <c r="L72" s="19"/>
      <c r="M72" s="19"/>
    </row>
    <row r="73" spans="1:26">
      <c r="C73" s="295" t="s">
        <v>21</v>
      </c>
      <c r="D73" s="4">
        <v>1.2</v>
      </c>
      <c r="E73" s="1" t="s">
        <v>174</v>
      </c>
      <c r="F73" s="19"/>
      <c r="G73" s="19"/>
      <c r="H73" s="19"/>
      <c r="I73" s="19"/>
      <c r="J73" s="19"/>
      <c r="K73" s="19"/>
      <c r="L73" s="19"/>
      <c r="M73" s="19"/>
    </row>
    <row r="74" spans="1:26">
      <c r="C74" s="296"/>
      <c r="D74" s="4">
        <v>1.1000000000000001</v>
      </c>
      <c r="E74" s="1" t="s">
        <v>22</v>
      </c>
      <c r="F74" s="19"/>
      <c r="G74" s="19"/>
      <c r="H74" s="19"/>
      <c r="I74" s="19"/>
      <c r="J74" s="19"/>
      <c r="K74" s="19"/>
      <c r="L74" s="19"/>
      <c r="M74" s="19"/>
    </row>
    <row r="75" spans="1:26">
      <c r="C75" s="297"/>
      <c r="D75" s="42">
        <v>1</v>
      </c>
      <c r="E75" s="1" t="s">
        <v>175</v>
      </c>
      <c r="M75" s="19"/>
    </row>
    <row r="76" spans="1:26">
      <c r="M76" s="19"/>
    </row>
    <row r="77" spans="1:26" s="31" customFormat="1" ht="30" customHeight="1">
      <c r="A77" s="168"/>
      <c r="B77" s="138" t="str">
        <f>B$41</f>
        <v>Pozo de</v>
      </c>
      <c r="C77" s="136" t="str">
        <f>C$41</f>
        <v>Pozo a</v>
      </c>
      <c r="D77" s="136" t="s">
        <v>130</v>
      </c>
      <c r="E77" s="136" t="s">
        <v>209</v>
      </c>
      <c r="F77" s="136" t="s">
        <v>204</v>
      </c>
      <c r="G77" s="122" t="s">
        <v>134</v>
      </c>
      <c r="H77" s="136" t="s">
        <v>205</v>
      </c>
      <c r="I77" s="136" t="s">
        <v>224</v>
      </c>
      <c r="J77" s="136" t="s">
        <v>225</v>
      </c>
      <c r="K77" s="136" t="s">
        <v>210</v>
      </c>
      <c r="L77" s="136" t="s">
        <v>211</v>
      </c>
      <c r="N77" s="93" t="s">
        <v>23</v>
      </c>
      <c r="W77" s="17"/>
      <c r="X77" s="17"/>
    </row>
    <row r="78" spans="1:26" s="74" customFormat="1" ht="12" customHeight="1">
      <c r="A78" s="169"/>
      <c r="B78" s="140" t="str">
        <f t="shared" ref="B78:D84" si="5">+B42</f>
        <v>PZ6</v>
      </c>
      <c r="C78" s="140" t="str">
        <f t="shared" si="5"/>
        <v>PZ4</v>
      </c>
      <c r="D78" s="135">
        <f t="shared" si="5"/>
        <v>38.74</v>
      </c>
      <c r="E78" s="141">
        <v>24</v>
      </c>
      <c r="F78" s="135">
        <f t="shared" ref="F78:F84" si="6">+F42</f>
        <v>0.73</v>
      </c>
      <c r="G78" s="135">
        <f t="shared" ref="G78:H84" si="7">+H42</f>
        <v>2.2799999999999998</v>
      </c>
      <c r="H78" s="135">
        <f t="shared" si="7"/>
        <v>1.325</v>
      </c>
      <c r="I78" s="135">
        <f>0.5+1.75*G78</f>
        <v>4.49</v>
      </c>
      <c r="J78" s="135">
        <f>0.25+1.75*G78</f>
        <v>4.24</v>
      </c>
      <c r="K78" s="135">
        <f>I78+1.75*(3*F78/4)</f>
        <v>5.4481250000000001</v>
      </c>
      <c r="L78" s="96">
        <f>$D$72*CHOOSE(N78,$D$73,$D$74,$D$75)/K78</f>
        <v>14.683950900539177</v>
      </c>
      <c r="M78" s="17"/>
      <c r="N78" s="75">
        <f>IF(G78&lt;0.6,1,IF(G78&lt;0.91,2,3))</f>
        <v>3</v>
      </c>
    </row>
    <row r="79" spans="1:26" s="74" customFormat="1" ht="12" customHeight="1">
      <c r="A79" s="169"/>
      <c r="B79" s="140" t="str">
        <f t="shared" si="5"/>
        <v>PZ4</v>
      </c>
      <c r="C79" s="140" t="str">
        <f t="shared" si="5"/>
        <v>PZ11-6</v>
      </c>
      <c r="D79" s="135">
        <f t="shared" si="5"/>
        <v>54.97</v>
      </c>
      <c r="E79" s="141">
        <v>24</v>
      </c>
      <c r="F79" s="135">
        <f t="shared" si="6"/>
        <v>0.73</v>
      </c>
      <c r="G79" s="135">
        <f t="shared" si="7"/>
        <v>1.97</v>
      </c>
      <c r="H79" s="135">
        <f t="shared" si="7"/>
        <v>1.325</v>
      </c>
      <c r="I79" s="135">
        <f t="shared" ref="I79:I84" si="8">0.5+1.75*G79</f>
        <v>3.9474999999999998</v>
      </c>
      <c r="J79" s="135">
        <f t="shared" ref="J79:J84" si="9">0.25+1.75*G79</f>
        <v>3.6974999999999998</v>
      </c>
      <c r="K79" s="135">
        <f t="shared" ref="K79:K84" si="10">I79+1.75*(3*F79/4)</f>
        <v>4.9056249999999997</v>
      </c>
      <c r="L79" s="96">
        <f t="shared" ref="L79:L84" si="11">$D$72*CHOOSE(N79,$D$73,$D$74,$D$75)/K79</f>
        <v>16.307809912090715</v>
      </c>
      <c r="M79" s="17"/>
      <c r="N79" s="75">
        <f t="shared" ref="N79:N90" si="12">IF(G79&lt;0.6,1,IF(G79&lt;0.91,2,3))</f>
        <v>3</v>
      </c>
    </row>
    <row r="80" spans="1:26" s="74" customFormat="1" ht="12" customHeight="1">
      <c r="A80" s="169"/>
      <c r="B80" s="140" t="str">
        <f t="shared" si="5"/>
        <v>PZ11-6</v>
      </c>
      <c r="C80" s="140" t="str">
        <f t="shared" si="5"/>
        <v>PZ7</v>
      </c>
      <c r="D80" s="135">
        <f t="shared" si="5"/>
        <v>7.6</v>
      </c>
      <c r="E80" s="141">
        <v>24</v>
      </c>
      <c r="F80" s="135">
        <f t="shared" si="6"/>
        <v>0.73</v>
      </c>
      <c r="G80" s="135">
        <f t="shared" si="7"/>
        <v>1.42</v>
      </c>
      <c r="H80" s="135">
        <f t="shared" si="7"/>
        <v>1.325</v>
      </c>
      <c r="I80" s="135">
        <f t="shared" si="8"/>
        <v>2.9849999999999999</v>
      </c>
      <c r="J80" s="135">
        <f t="shared" si="9"/>
        <v>2.7349999999999999</v>
      </c>
      <c r="K80" s="135">
        <f t="shared" si="10"/>
        <v>3.9431249999999998</v>
      </c>
      <c r="L80" s="96">
        <f t="shared" si="11"/>
        <v>20.288476779204313</v>
      </c>
      <c r="M80" s="17"/>
      <c r="N80" s="75">
        <f t="shared" si="12"/>
        <v>3</v>
      </c>
    </row>
    <row r="81" spans="1:14" s="74" customFormat="1" ht="12" customHeight="1">
      <c r="A81" s="169"/>
      <c r="B81" s="140" t="str">
        <f t="shared" si="5"/>
        <v>PZ7</v>
      </c>
      <c r="C81" s="140">
        <f t="shared" si="5"/>
        <v>117577</v>
      </c>
      <c r="D81" s="135">
        <f t="shared" si="5"/>
        <v>29.84</v>
      </c>
      <c r="E81" s="141">
        <v>24</v>
      </c>
      <c r="F81" s="135">
        <f t="shared" si="6"/>
        <v>0.73</v>
      </c>
      <c r="G81" s="135">
        <f t="shared" si="7"/>
        <v>1.87</v>
      </c>
      <c r="H81" s="135">
        <f t="shared" si="7"/>
        <v>1.325</v>
      </c>
      <c r="I81" s="135">
        <f t="shared" si="8"/>
        <v>3.7725</v>
      </c>
      <c r="J81" s="135">
        <f t="shared" si="9"/>
        <v>3.5225</v>
      </c>
      <c r="K81" s="135">
        <f t="shared" si="10"/>
        <v>4.7306249999999999</v>
      </c>
      <c r="L81" s="96">
        <f t="shared" si="11"/>
        <v>16.911084687541287</v>
      </c>
      <c r="M81" s="17"/>
      <c r="N81" s="75">
        <f t="shared" si="12"/>
        <v>3</v>
      </c>
    </row>
    <row r="82" spans="1:14" s="74" customFormat="1" ht="12" customHeight="1">
      <c r="A82" s="169"/>
      <c r="B82" s="140" t="str">
        <f t="shared" si="5"/>
        <v>PZ8</v>
      </c>
      <c r="C82" s="140" t="str">
        <f t="shared" si="5"/>
        <v>PZ7</v>
      </c>
      <c r="D82" s="135">
        <f t="shared" si="5"/>
        <v>6.02</v>
      </c>
      <c r="E82" s="141">
        <v>10</v>
      </c>
      <c r="F82" s="135">
        <f t="shared" si="6"/>
        <v>0.27</v>
      </c>
      <c r="G82" s="135">
        <f t="shared" si="7"/>
        <v>1.4</v>
      </c>
      <c r="H82" s="135">
        <f t="shared" si="7"/>
        <v>1</v>
      </c>
      <c r="I82" s="135">
        <f t="shared" si="8"/>
        <v>2.9499999999999997</v>
      </c>
      <c r="J82" s="135">
        <f t="shared" si="9"/>
        <v>2.6999999999999997</v>
      </c>
      <c r="K82" s="135">
        <f t="shared" si="10"/>
        <v>3.3043749999999998</v>
      </c>
      <c r="L82" s="96">
        <f t="shared" si="11"/>
        <v>24.210327217703803</v>
      </c>
      <c r="M82" s="17"/>
      <c r="N82" s="75">
        <f t="shared" si="12"/>
        <v>3</v>
      </c>
    </row>
    <row r="83" spans="1:14" s="74" customFormat="1" ht="12" customHeight="1">
      <c r="A83" s="169"/>
      <c r="B83" s="140" t="str">
        <f t="shared" si="5"/>
        <v>PZ9</v>
      </c>
      <c r="C83" s="140" t="str">
        <f t="shared" si="5"/>
        <v>PZ10</v>
      </c>
      <c r="D83" s="135">
        <f t="shared" si="5"/>
        <v>21.39</v>
      </c>
      <c r="E83" s="141">
        <v>10</v>
      </c>
      <c r="F83" s="135">
        <f t="shared" si="6"/>
        <v>0.27</v>
      </c>
      <c r="G83" s="135">
        <f t="shared" si="7"/>
        <v>1</v>
      </c>
      <c r="H83" s="135">
        <f t="shared" si="7"/>
        <v>1</v>
      </c>
      <c r="I83" s="135">
        <f t="shared" si="8"/>
        <v>2.25</v>
      </c>
      <c r="J83" s="135">
        <f t="shared" si="9"/>
        <v>2</v>
      </c>
      <c r="K83" s="135">
        <f t="shared" si="10"/>
        <v>2.6043750000000001</v>
      </c>
      <c r="L83" s="96">
        <f t="shared" si="11"/>
        <v>30.717542596592271</v>
      </c>
      <c r="M83" s="17"/>
      <c r="N83" s="75">
        <f t="shared" si="12"/>
        <v>3</v>
      </c>
    </row>
    <row r="84" spans="1:14" s="74" customFormat="1" ht="12" customHeight="1">
      <c r="A84" s="169"/>
      <c r="B84" s="140" t="str">
        <f t="shared" si="5"/>
        <v>PZ10</v>
      </c>
      <c r="C84" s="140">
        <f t="shared" si="5"/>
        <v>117576</v>
      </c>
      <c r="D84" s="135">
        <f t="shared" si="5"/>
        <v>8.1999999999999993</v>
      </c>
      <c r="E84" s="141">
        <v>10</v>
      </c>
      <c r="F84" s="135">
        <f t="shared" si="6"/>
        <v>0.27</v>
      </c>
      <c r="G84" s="135">
        <f t="shared" si="7"/>
        <v>0.9</v>
      </c>
      <c r="H84" s="135">
        <f t="shared" si="7"/>
        <v>1</v>
      </c>
      <c r="I84" s="135">
        <f t="shared" si="8"/>
        <v>2.0750000000000002</v>
      </c>
      <c r="J84" s="135">
        <f t="shared" si="9"/>
        <v>1.825</v>
      </c>
      <c r="K84" s="135">
        <f t="shared" si="10"/>
        <v>2.4293750000000003</v>
      </c>
      <c r="L84" s="96">
        <f t="shared" si="11"/>
        <v>36.223308464111135</v>
      </c>
      <c r="M84" s="17"/>
      <c r="N84" s="75">
        <f t="shared" si="12"/>
        <v>2</v>
      </c>
    </row>
    <row r="85" spans="1:14" s="74" customFormat="1" ht="12" customHeight="1">
      <c r="A85" s="169"/>
      <c r="B85" s="280" t="str">
        <f t="shared" ref="B85:B90" si="13">+B49</f>
        <v>SUMIDEROS</v>
      </c>
      <c r="C85" s="281"/>
      <c r="D85" s="281"/>
      <c r="E85" s="281"/>
      <c r="F85" s="281"/>
      <c r="G85" s="281"/>
      <c r="H85" s="281"/>
      <c r="I85" s="281"/>
      <c r="J85" s="281"/>
      <c r="K85" s="281"/>
      <c r="L85" s="282"/>
      <c r="M85" s="17"/>
      <c r="N85" s="75"/>
    </row>
    <row r="86" spans="1:14" s="74" customFormat="1" ht="12" customHeight="1">
      <c r="A86" s="169"/>
      <c r="B86" s="140" t="str">
        <f t="shared" si="13"/>
        <v>S1</v>
      </c>
      <c r="C86" s="140" t="str">
        <f>+C50</f>
        <v>PZ4</v>
      </c>
      <c r="D86" s="135">
        <f>+D50</f>
        <v>6.2</v>
      </c>
      <c r="E86" s="95">
        <f>+E50</f>
        <v>10</v>
      </c>
      <c r="F86" s="135">
        <f>+F50</f>
        <v>0.2732</v>
      </c>
      <c r="G86" s="135">
        <f t="shared" ref="G86:H90" si="14">+H50</f>
        <v>1.17</v>
      </c>
      <c r="H86" s="135">
        <f t="shared" si="14"/>
        <v>1</v>
      </c>
      <c r="I86" s="135">
        <f t="shared" ref="I86:I90" si="15">0.5+1.75*G86</f>
        <v>2.5474999999999999</v>
      </c>
      <c r="J86" s="135">
        <f t="shared" ref="J86:J90" si="16">0.25+1.75*G86</f>
        <v>2.2974999999999999</v>
      </c>
      <c r="K86" s="135">
        <f t="shared" ref="K86:K90" si="17">I86+1.75*(3*F86/4)</f>
        <v>2.906075</v>
      </c>
      <c r="L86" s="96">
        <f>$D$72*CHOOSE(N86,$D$73,$D$74,$D$75)/K86</f>
        <v>27.528539352907273</v>
      </c>
      <c r="M86" s="17"/>
      <c r="N86" s="75">
        <f t="shared" si="12"/>
        <v>3</v>
      </c>
    </row>
    <row r="87" spans="1:14" s="74" customFormat="1" ht="12" customHeight="1">
      <c r="A87" s="169"/>
      <c r="B87" s="140" t="str">
        <f t="shared" si="13"/>
        <v>S2</v>
      </c>
      <c r="C87" s="140">
        <f t="shared" ref="C87:D90" si="18">+C51</f>
        <v>117578</v>
      </c>
      <c r="D87" s="135">
        <f t="shared" si="18"/>
        <v>7.5</v>
      </c>
      <c r="E87" s="95">
        <f t="shared" ref="E87:E90" si="19">+E51</f>
        <v>10</v>
      </c>
      <c r="F87" s="135">
        <f>+F51</f>
        <v>0.2732</v>
      </c>
      <c r="G87" s="135">
        <f t="shared" si="14"/>
        <v>1.19</v>
      </c>
      <c r="H87" s="135">
        <f t="shared" si="14"/>
        <v>1</v>
      </c>
      <c r="I87" s="135">
        <f t="shared" si="15"/>
        <v>2.5825</v>
      </c>
      <c r="J87" s="135">
        <f t="shared" si="16"/>
        <v>2.3325</v>
      </c>
      <c r="K87" s="135">
        <f t="shared" si="17"/>
        <v>2.9410750000000001</v>
      </c>
      <c r="L87" s="96">
        <f>$D$72*CHOOSE(N87,$D$73,$D$74,$D$75)/K87</f>
        <v>27.200938432375917</v>
      </c>
      <c r="M87" s="17"/>
      <c r="N87" s="75">
        <f t="shared" si="12"/>
        <v>3</v>
      </c>
    </row>
    <row r="88" spans="1:14" s="74" customFormat="1" ht="12" customHeight="1">
      <c r="A88" s="169"/>
      <c r="B88" s="140" t="str">
        <f t="shared" si="13"/>
        <v>S3</v>
      </c>
      <c r="C88" s="140" t="str">
        <f t="shared" si="18"/>
        <v>PZ9</v>
      </c>
      <c r="D88" s="135">
        <f t="shared" si="18"/>
        <v>4</v>
      </c>
      <c r="E88" s="95">
        <f t="shared" si="19"/>
        <v>10</v>
      </c>
      <c r="F88" s="135">
        <f>+F52</f>
        <v>0.2732</v>
      </c>
      <c r="G88" s="135">
        <f t="shared" si="14"/>
        <v>1.07</v>
      </c>
      <c r="H88" s="135">
        <f t="shared" si="14"/>
        <v>1</v>
      </c>
      <c r="I88" s="135">
        <f t="shared" si="15"/>
        <v>2.3725000000000001</v>
      </c>
      <c r="J88" s="135">
        <f t="shared" si="16"/>
        <v>2.1225000000000001</v>
      </c>
      <c r="K88" s="135">
        <f t="shared" si="17"/>
        <v>2.7310750000000001</v>
      </c>
      <c r="L88" s="96">
        <f>$D$72*CHOOSE(N88,$D$73,$D$74,$D$75)/K88</f>
        <v>29.292494713620094</v>
      </c>
      <c r="M88" s="17"/>
      <c r="N88" s="75">
        <f t="shared" si="12"/>
        <v>3</v>
      </c>
    </row>
    <row r="89" spans="1:14" s="74" customFormat="1" ht="12" customHeight="1">
      <c r="A89" s="169"/>
      <c r="B89" s="140" t="str">
        <f t="shared" si="13"/>
        <v>S4</v>
      </c>
      <c r="C89" s="140" t="str">
        <f t="shared" si="18"/>
        <v>PZ9</v>
      </c>
      <c r="D89" s="135">
        <f t="shared" si="18"/>
        <v>5.9</v>
      </c>
      <c r="E89" s="95">
        <f t="shared" si="19"/>
        <v>10</v>
      </c>
      <c r="F89" s="135">
        <f>+F53</f>
        <v>0.2732</v>
      </c>
      <c r="G89" s="135">
        <f t="shared" si="14"/>
        <v>1.07</v>
      </c>
      <c r="H89" s="135">
        <f t="shared" si="14"/>
        <v>1</v>
      </c>
      <c r="I89" s="135">
        <f t="shared" si="15"/>
        <v>2.3725000000000001</v>
      </c>
      <c r="J89" s="135">
        <f t="shared" si="16"/>
        <v>2.1225000000000001</v>
      </c>
      <c r="K89" s="135">
        <f t="shared" si="17"/>
        <v>2.7310750000000001</v>
      </c>
      <c r="L89" s="96">
        <f>$D$72*CHOOSE(N89,$D$73,$D$74,$D$75)/K89</f>
        <v>29.292494713620094</v>
      </c>
      <c r="M89" s="17"/>
      <c r="N89" s="75">
        <f t="shared" si="12"/>
        <v>3</v>
      </c>
    </row>
    <row r="90" spans="1:14" s="74" customFormat="1" ht="12" customHeight="1">
      <c r="A90" s="169"/>
      <c r="B90" s="140" t="str">
        <f t="shared" si="13"/>
        <v>S5</v>
      </c>
      <c r="C90" s="140" t="str">
        <f t="shared" si="18"/>
        <v>PZ10</v>
      </c>
      <c r="D90" s="135">
        <f t="shared" si="18"/>
        <v>5.6</v>
      </c>
      <c r="E90" s="95">
        <f t="shared" si="19"/>
        <v>10</v>
      </c>
      <c r="F90" s="135">
        <f>+F54</f>
        <v>0.2732</v>
      </c>
      <c r="G90" s="135">
        <f t="shared" si="14"/>
        <v>1.19</v>
      </c>
      <c r="H90" s="135">
        <f t="shared" si="14"/>
        <v>1</v>
      </c>
      <c r="I90" s="135">
        <f t="shared" si="15"/>
        <v>2.5825</v>
      </c>
      <c r="J90" s="135">
        <f t="shared" si="16"/>
        <v>2.3325</v>
      </c>
      <c r="K90" s="135">
        <f t="shared" si="17"/>
        <v>2.9410750000000001</v>
      </c>
      <c r="L90" s="96">
        <f>$D$72*CHOOSE(N90,$D$73,$D$74,$D$75)/K90</f>
        <v>27.200938432375917</v>
      </c>
      <c r="M90" s="17"/>
      <c r="N90" s="75">
        <f t="shared" si="12"/>
        <v>3</v>
      </c>
    </row>
    <row r="91" spans="1:14" s="74" customFormat="1" ht="11.25">
      <c r="E91" s="77"/>
      <c r="F91" s="78"/>
      <c r="G91" s="79"/>
      <c r="H91" s="79"/>
      <c r="I91" s="80"/>
      <c r="J91" s="80"/>
      <c r="K91" s="80"/>
    </row>
    <row r="92" spans="1:14">
      <c r="A92" s="19" t="s">
        <v>24</v>
      </c>
      <c r="D92" s="37"/>
      <c r="E92" s="30"/>
      <c r="F92" s="43"/>
      <c r="G92" s="43"/>
      <c r="H92" s="36"/>
      <c r="I92" s="36"/>
      <c r="J92" s="36"/>
    </row>
    <row r="93" spans="1:14">
      <c r="D93" s="37"/>
      <c r="E93" s="30"/>
      <c r="F93" s="43"/>
      <c r="G93" s="43"/>
      <c r="H93" s="36"/>
      <c r="I93" s="36"/>
      <c r="J93" s="36"/>
    </row>
    <row r="94" spans="1:14">
      <c r="A94" s="298" t="s">
        <v>116</v>
      </c>
      <c r="B94" s="298"/>
      <c r="C94" s="298"/>
      <c r="D94" s="298"/>
      <c r="E94" s="298"/>
      <c r="F94" s="298"/>
      <c r="G94" s="298"/>
      <c r="H94" s="298"/>
      <c r="I94" s="298"/>
      <c r="J94" s="298"/>
      <c r="K94" s="298"/>
      <c r="L94" s="298"/>
      <c r="M94" s="298"/>
    </row>
    <row r="95" spans="1:14">
      <c r="A95" s="298"/>
      <c r="B95" s="298"/>
      <c r="C95" s="298"/>
      <c r="D95" s="298"/>
      <c r="E95" s="298"/>
      <c r="F95" s="298"/>
      <c r="G95" s="298"/>
      <c r="H95" s="298"/>
      <c r="I95" s="298"/>
      <c r="J95" s="298"/>
      <c r="K95" s="298"/>
      <c r="L95" s="298"/>
      <c r="M95" s="298"/>
    </row>
    <row r="96" spans="1:14">
      <c r="D96" s="37"/>
      <c r="E96" s="30"/>
      <c r="F96" s="43"/>
      <c r="G96" s="43"/>
      <c r="H96" s="36"/>
      <c r="I96" s="36"/>
      <c r="J96" s="36"/>
    </row>
    <row r="97" spans="1:240">
      <c r="D97" s="37"/>
      <c r="E97" s="30"/>
      <c r="F97" s="43"/>
      <c r="G97" s="43"/>
      <c r="H97" s="36"/>
      <c r="I97" s="36"/>
      <c r="J97" s="36"/>
      <c r="P97" s="19"/>
      <c r="Q97" s="19"/>
      <c r="R97" s="19"/>
      <c r="S97" s="19"/>
      <c r="T97" s="19"/>
      <c r="U97" s="19"/>
      <c r="V97" s="19"/>
      <c r="Y97" s="19"/>
      <c r="Z97" s="19"/>
    </row>
    <row r="98" spans="1:240">
      <c r="D98" s="37"/>
      <c r="E98" s="30"/>
      <c r="F98" s="43"/>
      <c r="G98" s="43"/>
      <c r="H98" s="36"/>
      <c r="I98" s="36"/>
      <c r="J98" s="36"/>
      <c r="P98" s="19"/>
      <c r="Q98" s="19"/>
      <c r="R98" s="19"/>
      <c r="S98" s="19"/>
      <c r="T98" s="19"/>
      <c r="U98" s="19"/>
      <c r="V98" s="19"/>
      <c r="Y98" s="19"/>
      <c r="Z98" s="19"/>
    </row>
    <row r="99" spans="1:240">
      <c r="D99" s="37"/>
      <c r="E99" s="30"/>
      <c r="F99" s="43"/>
      <c r="G99" s="43"/>
      <c r="H99" s="36"/>
      <c r="I99" s="36"/>
      <c r="J99" s="36"/>
      <c r="P99" s="19"/>
      <c r="Q99" s="19"/>
      <c r="R99" s="19"/>
      <c r="S99" s="19"/>
      <c r="T99" s="19"/>
      <c r="U99" s="19"/>
      <c r="V99" s="19"/>
      <c r="Y99" s="19"/>
      <c r="Z99" s="19"/>
    </row>
    <row r="100" spans="1:240">
      <c r="D100" s="37"/>
      <c r="E100" s="30"/>
      <c r="F100" s="43"/>
      <c r="G100" s="43"/>
      <c r="H100" s="36"/>
      <c r="I100" s="36"/>
      <c r="J100" s="36"/>
      <c r="P100" s="19"/>
      <c r="Q100" s="19"/>
      <c r="R100" s="19"/>
      <c r="S100" s="19"/>
      <c r="T100" s="19"/>
      <c r="U100" s="19"/>
      <c r="V100" s="19"/>
      <c r="Y100" s="19"/>
      <c r="Z100" s="19"/>
    </row>
    <row r="101" spans="1:240">
      <c r="A101" s="17" t="s">
        <v>2</v>
      </c>
      <c r="D101" s="37"/>
      <c r="E101" s="30"/>
      <c r="F101" s="43"/>
      <c r="G101" s="43"/>
      <c r="H101" s="36"/>
      <c r="I101" s="36"/>
      <c r="J101" s="36"/>
      <c r="P101" s="19"/>
      <c r="Q101" s="19"/>
      <c r="R101" s="19"/>
      <c r="S101" s="19"/>
      <c r="T101" s="19"/>
      <c r="U101" s="19"/>
      <c r="V101" s="19"/>
      <c r="Y101" s="19"/>
      <c r="Z101" s="19"/>
    </row>
    <row r="102" spans="1:240">
      <c r="C102" s="44" t="s">
        <v>100</v>
      </c>
      <c r="D102" s="45" t="s">
        <v>25</v>
      </c>
      <c r="E102" s="30"/>
      <c r="F102" s="43"/>
      <c r="G102" s="43"/>
      <c r="H102" s="36"/>
      <c r="I102" s="36"/>
      <c r="J102" s="36"/>
      <c r="O102" s="72"/>
      <c r="P102" s="154"/>
      <c r="Q102" s="154"/>
      <c r="R102" s="154"/>
      <c r="S102" s="19"/>
      <c r="T102" s="19"/>
      <c r="U102" s="19"/>
      <c r="V102" s="19"/>
      <c r="Y102" s="19"/>
      <c r="Z102" s="19"/>
    </row>
    <row r="103" spans="1:240">
      <c r="C103" s="44" t="s">
        <v>101</v>
      </c>
      <c r="D103" s="45" t="s">
        <v>27</v>
      </c>
      <c r="E103" s="30"/>
      <c r="F103" s="43"/>
      <c r="G103" s="43"/>
      <c r="H103" s="36"/>
      <c r="I103" s="36"/>
      <c r="J103" s="36"/>
      <c r="O103" s="121"/>
      <c r="P103" s="155"/>
      <c r="Q103" s="154"/>
      <c r="R103" s="154"/>
      <c r="S103" s="19"/>
      <c r="T103" s="19"/>
      <c r="U103" s="19"/>
      <c r="V103" s="19"/>
      <c r="W103" s="19"/>
      <c r="X103" s="19"/>
      <c r="Y103" s="19"/>
      <c r="Z103" s="19"/>
    </row>
    <row r="104" spans="1:240">
      <c r="C104" s="17" t="s">
        <v>26</v>
      </c>
      <c r="D104" s="45" t="s">
        <v>76</v>
      </c>
      <c r="E104" s="30"/>
      <c r="F104" s="43"/>
      <c r="G104" s="43"/>
      <c r="H104" s="36"/>
      <c r="I104" s="36"/>
      <c r="J104" s="36"/>
      <c r="O104" s="72"/>
      <c r="P104" s="155"/>
      <c r="Q104" s="154"/>
      <c r="R104" s="154"/>
      <c r="S104" s="19"/>
      <c r="T104" s="19"/>
      <c r="U104" s="19"/>
      <c r="V104" s="19"/>
      <c r="W104" s="19"/>
      <c r="X104" s="19"/>
      <c r="Y104" s="19"/>
      <c r="Z104" s="19"/>
    </row>
    <row r="105" spans="1:240" ht="13.5">
      <c r="C105" s="46" t="s">
        <v>102</v>
      </c>
      <c r="D105" s="45" t="s">
        <v>28</v>
      </c>
      <c r="E105" s="30"/>
      <c r="F105" s="43"/>
      <c r="G105" s="43"/>
      <c r="H105" s="36"/>
      <c r="I105" s="36"/>
      <c r="J105" s="36"/>
      <c r="O105" s="72"/>
      <c r="P105" s="155"/>
      <c r="Q105" s="154"/>
      <c r="R105" s="154"/>
    </row>
    <row r="106" spans="1:240">
      <c r="C106" s="17" t="s">
        <v>29</v>
      </c>
      <c r="D106" s="45" t="s">
        <v>30</v>
      </c>
      <c r="E106" s="30"/>
      <c r="F106" s="43"/>
      <c r="G106" s="43"/>
      <c r="H106" s="36"/>
      <c r="I106" s="36"/>
      <c r="J106" s="36"/>
      <c r="O106" s="72"/>
      <c r="P106" s="72"/>
      <c r="Q106" s="72"/>
      <c r="R106" s="72"/>
    </row>
    <row r="107" spans="1:240">
      <c r="C107" s="17" t="s">
        <v>31</v>
      </c>
      <c r="D107" s="45" t="s">
        <v>32</v>
      </c>
      <c r="E107" s="30"/>
      <c r="F107" s="43"/>
      <c r="G107" s="43"/>
      <c r="H107" s="36"/>
      <c r="I107" s="36"/>
      <c r="J107" s="36"/>
      <c r="O107" s="72"/>
      <c r="P107" s="72"/>
      <c r="Q107" s="72"/>
      <c r="R107" s="72"/>
      <c r="S107" s="301" t="s">
        <v>50</v>
      </c>
      <c r="T107" s="301" t="s">
        <v>51</v>
      </c>
      <c r="U107" s="301"/>
      <c r="V107" s="301"/>
      <c r="W107" s="301"/>
      <c r="X107" s="301"/>
      <c r="Y107" s="301"/>
      <c r="Z107" s="301"/>
      <c r="AA107" s="301"/>
    </row>
    <row r="108" spans="1:240">
      <c r="D108" s="45" t="s">
        <v>33</v>
      </c>
      <c r="E108" s="30"/>
      <c r="F108" s="43"/>
      <c r="G108" s="43"/>
      <c r="H108" s="36"/>
      <c r="I108" s="36"/>
      <c r="J108" s="36"/>
      <c r="O108" s="19"/>
      <c r="S108" s="301"/>
      <c r="T108" s="116">
        <v>1.25</v>
      </c>
      <c r="U108" s="116">
        <v>1.5</v>
      </c>
      <c r="V108" s="116">
        <v>1.75</v>
      </c>
      <c r="W108" s="116">
        <v>2</v>
      </c>
      <c r="X108" s="116">
        <v>2.5</v>
      </c>
      <c r="Y108" s="116">
        <v>3</v>
      </c>
      <c r="Z108" s="116">
        <v>4</v>
      </c>
      <c r="AA108" s="116">
        <v>5</v>
      </c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/>
      <c r="CU108" s="19"/>
      <c r="CV108" s="19"/>
      <c r="CW108" s="19"/>
      <c r="CX108" s="19"/>
      <c r="CY108" s="19"/>
      <c r="CZ108" s="19"/>
      <c r="DA108" s="19"/>
      <c r="DB108" s="19"/>
      <c r="DC108" s="19"/>
      <c r="DD108" s="19"/>
      <c r="DE108" s="19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  <c r="DX108" s="19"/>
      <c r="DY108" s="19"/>
      <c r="DZ108" s="19"/>
      <c r="EA108" s="19"/>
      <c r="EB108" s="19"/>
      <c r="EC108" s="19"/>
      <c r="ED108" s="19"/>
      <c r="EE108" s="19"/>
      <c r="EF108" s="19"/>
      <c r="EG108" s="19"/>
      <c r="EH108" s="19"/>
      <c r="EI108" s="19"/>
      <c r="EJ108" s="19"/>
      <c r="EK108" s="19"/>
      <c r="EL108" s="19"/>
      <c r="EM108" s="19"/>
      <c r="EN108" s="19"/>
      <c r="EO108" s="19"/>
      <c r="EP108" s="19"/>
      <c r="EQ108" s="19"/>
      <c r="ER108" s="19"/>
      <c r="ES108" s="19"/>
      <c r="ET108" s="19"/>
      <c r="EU108" s="19"/>
      <c r="EV108" s="19"/>
      <c r="EW108" s="19"/>
      <c r="EX108" s="19"/>
      <c r="EY108" s="19"/>
      <c r="EZ108" s="19"/>
      <c r="FA108" s="19"/>
      <c r="FB108" s="19"/>
      <c r="FC108" s="19"/>
      <c r="FD108" s="19"/>
      <c r="FE108" s="19"/>
      <c r="FF108" s="19"/>
      <c r="FG108" s="19"/>
      <c r="FH108" s="19"/>
      <c r="FI108" s="19"/>
      <c r="FJ108" s="19"/>
      <c r="FK108" s="19"/>
      <c r="FL108" s="19"/>
      <c r="FM108" s="19"/>
      <c r="FN108" s="19"/>
      <c r="FO108" s="19"/>
      <c r="FP108" s="19"/>
      <c r="FQ108" s="19"/>
      <c r="FR108" s="19"/>
      <c r="FS108" s="19"/>
      <c r="FT108" s="19"/>
      <c r="FU108" s="19"/>
      <c r="FV108" s="19"/>
      <c r="FW108" s="19"/>
      <c r="FX108" s="19"/>
      <c r="FY108" s="19"/>
      <c r="FZ108" s="19"/>
      <c r="GA108" s="19"/>
      <c r="GB108" s="19"/>
      <c r="GC108" s="19"/>
      <c r="GD108" s="19"/>
      <c r="GE108" s="19"/>
      <c r="GF108" s="19"/>
      <c r="GG108" s="19"/>
      <c r="GH108" s="19"/>
      <c r="GI108" s="19"/>
      <c r="GJ108" s="19"/>
      <c r="GK108" s="19"/>
      <c r="GL108" s="19"/>
      <c r="GM108" s="19"/>
      <c r="GN108" s="19"/>
      <c r="GO108" s="19"/>
      <c r="GP108" s="19"/>
      <c r="GQ108" s="19"/>
      <c r="GR108" s="19"/>
      <c r="GS108" s="19"/>
      <c r="GT108" s="19"/>
      <c r="GU108" s="19"/>
      <c r="GV108" s="19"/>
      <c r="GW108" s="19"/>
      <c r="GX108" s="19"/>
      <c r="GY108" s="19"/>
      <c r="GZ108" s="19"/>
      <c r="HA108" s="19"/>
      <c r="HB108" s="19"/>
      <c r="HC108" s="19"/>
      <c r="HD108" s="19"/>
      <c r="HE108" s="19"/>
      <c r="HF108" s="19"/>
      <c r="HG108" s="19"/>
      <c r="HH108" s="19"/>
      <c r="HI108" s="19"/>
      <c r="HJ108" s="19"/>
      <c r="HK108" s="19"/>
      <c r="HL108" s="19"/>
      <c r="HM108" s="19"/>
      <c r="HN108" s="19"/>
      <c r="HO108" s="19"/>
      <c r="HP108" s="19"/>
      <c r="HQ108" s="19"/>
      <c r="HR108" s="19"/>
      <c r="HS108" s="19"/>
      <c r="HT108" s="19"/>
      <c r="HU108" s="19"/>
      <c r="HV108" s="19"/>
      <c r="HW108" s="19"/>
      <c r="HX108" s="19"/>
      <c r="HY108" s="19"/>
      <c r="HZ108" s="19"/>
      <c r="IA108" s="19"/>
      <c r="IB108" s="19"/>
      <c r="IC108" s="19"/>
      <c r="ID108" s="19"/>
      <c r="IE108" s="19"/>
      <c r="IF108" s="19"/>
    </row>
    <row r="109" spans="1:240">
      <c r="C109" s="17" t="s">
        <v>34</v>
      </c>
      <c r="D109" s="45" t="s">
        <v>35</v>
      </c>
      <c r="E109" s="30"/>
      <c r="F109" s="43"/>
      <c r="G109" s="43"/>
      <c r="H109" s="36"/>
      <c r="I109" s="36"/>
      <c r="J109" s="36"/>
      <c r="O109" s="19"/>
      <c r="S109" s="113">
        <v>5.0000000000000001E-3</v>
      </c>
      <c r="T109" s="21">
        <v>0.02</v>
      </c>
      <c r="U109" s="21">
        <v>0.05</v>
      </c>
      <c r="V109" s="21">
        <v>0.08</v>
      </c>
      <c r="W109" s="21">
        <v>0.12</v>
      </c>
      <c r="X109" s="21">
        <v>0.23</v>
      </c>
      <c r="Y109" s="21">
        <v>0.43</v>
      </c>
      <c r="Z109" s="21">
        <v>0.72</v>
      </c>
      <c r="AA109" s="21">
        <v>1</v>
      </c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  <c r="BY109" s="19"/>
      <c r="BZ109" s="19"/>
      <c r="CA109" s="19"/>
      <c r="CB109" s="19"/>
      <c r="CC109" s="19"/>
      <c r="CD109" s="19"/>
      <c r="CE109" s="19"/>
      <c r="CF109" s="19"/>
      <c r="CG109" s="19"/>
      <c r="CH109" s="19"/>
      <c r="CI109" s="19"/>
      <c r="CJ109" s="19"/>
      <c r="CK109" s="19"/>
      <c r="CL109" s="19"/>
      <c r="CM109" s="19"/>
      <c r="CN109" s="19"/>
      <c r="CO109" s="19"/>
      <c r="CP109" s="19"/>
      <c r="CQ109" s="19"/>
      <c r="CR109" s="19"/>
      <c r="CS109" s="19"/>
      <c r="CT109" s="19"/>
      <c r="CU109" s="19"/>
      <c r="CV109" s="19"/>
      <c r="CW109" s="19"/>
      <c r="CX109" s="19"/>
      <c r="CY109" s="19"/>
      <c r="CZ109" s="19"/>
      <c r="DA109" s="19"/>
      <c r="DB109" s="19"/>
      <c r="DC109" s="19"/>
      <c r="DD109" s="19"/>
      <c r="DE109" s="19"/>
      <c r="DF109" s="19"/>
      <c r="DG109" s="19"/>
      <c r="DH109" s="19"/>
      <c r="DI109" s="19"/>
      <c r="DJ109" s="19"/>
      <c r="DK109" s="19"/>
      <c r="DL109" s="19"/>
      <c r="DM109" s="19"/>
      <c r="DN109" s="19"/>
      <c r="DO109" s="19"/>
      <c r="DP109" s="19"/>
      <c r="DQ109" s="19"/>
      <c r="DR109" s="19"/>
      <c r="DS109" s="19"/>
      <c r="DT109" s="19"/>
      <c r="DU109" s="19"/>
      <c r="DV109" s="19"/>
      <c r="DW109" s="19"/>
      <c r="DX109" s="19"/>
      <c r="DY109" s="19"/>
      <c r="DZ109" s="19"/>
      <c r="EA109" s="19"/>
      <c r="EB109" s="19"/>
      <c r="EC109" s="19"/>
      <c r="ED109" s="19"/>
      <c r="EE109" s="19"/>
      <c r="EF109" s="19"/>
      <c r="EG109" s="19"/>
      <c r="EH109" s="19"/>
      <c r="EI109" s="19"/>
      <c r="EJ109" s="19"/>
      <c r="EK109" s="19"/>
      <c r="EL109" s="19"/>
      <c r="EM109" s="19"/>
      <c r="EN109" s="19"/>
      <c r="EO109" s="19"/>
      <c r="EP109" s="19"/>
      <c r="EQ109" s="19"/>
      <c r="ER109" s="19"/>
      <c r="ES109" s="19"/>
      <c r="ET109" s="19"/>
      <c r="EU109" s="19"/>
      <c r="EV109" s="19"/>
      <c r="EW109" s="19"/>
      <c r="EX109" s="19"/>
      <c r="EY109" s="19"/>
      <c r="EZ109" s="19"/>
      <c r="FA109" s="19"/>
      <c r="FB109" s="19"/>
      <c r="FC109" s="19"/>
      <c r="FD109" s="19"/>
      <c r="FE109" s="19"/>
      <c r="FF109" s="19"/>
      <c r="FG109" s="19"/>
      <c r="FH109" s="19"/>
      <c r="FI109" s="19"/>
      <c r="FJ109" s="19"/>
      <c r="FK109" s="19"/>
      <c r="FL109" s="19"/>
      <c r="FM109" s="19"/>
      <c r="FN109" s="19"/>
      <c r="FO109" s="19"/>
      <c r="FP109" s="19"/>
      <c r="FQ109" s="19"/>
      <c r="FR109" s="19"/>
      <c r="FS109" s="19"/>
      <c r="FT109" s="19"/>
      <c r="FU109" s="19"/>
      <c r="FV109" s="19"/>
      <c r="FW109" s="19"/>
      <c r="FX109" s="19"/>
      <c r="FY109" s="19"/>
      <c r="FZ109" s="19"/>
      <c r="GA109" s="19"/>
      <c r="GB109" s="19"/>
      <c r="GC109" s="19"/>
      <c r="GD109" s="19"/>
      <c r="GE109" s="19"/>
      <c r="GF109" s="19"/>
      <c r="GG109" s="19"/>
      <c r="GH109" s="19"/>
      <c r="GI109" s="19"/>
      <c r="GJ109" s="19"/>
      <c r="GK109" s="19"/>
      <c r="GL109" s="19"/>
      <c r="GM109" s="19"/>
      <c r="GN109" s="19"/>
      <c r="GO109" s="19"/>
      <c r="GP109" s="19"/>
      <c r="GQ109" s="19"/>
      <c r="GR109" s="19"/>
      <c r="GS109" s="19"/>
      <c r="GT109" s="19"/>
      <c r="GU109" s="19"/>
      <c r="GV109" s="19"/>
      <c r="GW109" s="19"/>
      <c r="GX109" s="19"/>
      <c r="GY109" s="19"/>
      <c r="GZ109" s="19"/>
      <c r="HA109" s="19"/>
      <c r="HB109" s="19"/>
      <c r="HC109" s="19"/>
      <c r="HD109" s="19"/>
      <c r="HE109" s="19"/>
      <c r="HF109" s="19"/>
      <c r="HG109" s="19"/>
      <c r="HH109" s="19"/>
      <c r="HI109" s="19"/>
      <c r="HJ109" s="19"/>
      <c r="HK109" s="19"/>
      <c r="HL109" s="19"/>
      <c r="HM109" s="19"/>
      <c r="HN109" s="19"/>
      <c r="HO109" s="19"/>
      <c r="HP109" s="19"/>
      <c r="HQ109" s="19"/>
      <c r="HR109" s="19"/>
      <c r="HS109" s="19"/>
      <c r="HT109" s="19"/>
      <c r="HU109" s="19"/>
      <c r="HV109" s="19"/>
      <c r="HW109" s="19"/>
      <c r="HX109" s="19"/>
      <c r="HY109" s="19"/>
      <c r="HZ109" s="19"/>
      <c r="IA109" s="19"/>
      <c r="IB109" s="19"/>
      <c r="IC109" s="19"/>
      <c r="ID109" s="19"/>
      <c r="IE109" s="19"/>
      <c r="IF109" s="19"/>
    </row>
    <row r="110" spans="1:240">
      <c r="C110" s="17" t="s">
        <v>36</v>
      </c>
      <c r="D110" s="45" t="s">
        <v>37</v>
      </c>
      <c r="E110" s="30"/>
      <c r="F110" s="43"/>
      <c r="G110" s="43"/>
      <c r="H110" s="36"/>
      <c r="I110" s="36"/>
      <c r="J110" s="36"/>
      <c r="O110" s="19"/>
      <c r="S110" s="113">
        <v>0.01</v>
      </c>
      <c r="T110" s="21">
        <v>0.03</v>
      </c>
      <c r="U110" s="21">
        <v>7.0000000000000007E-2</v>
      </c>
      <c r="V110" s="21">
        <v>0.11</v>
      </c>
      <c r="W110" s="21">
        <v>0.15</v>
      </c>
      <c r="X110" s="21">
        <v>0.27</v>
      </c>
      <c r="Y110" s="21">
        <v>0.47</v>
      </c>
      <c r="Z110" s="21">
        <v>0.74</v>
      </c>
      <c r="AA110" s="21">
        <v>1</v>
      </c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  <c r="BZ110" s="19"/>
      <c r="CA110" s="19"/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/>
      <c r="CU110" s="19"/>
      <c r="CV110" s="19"/>
      <c r="CW110" s="19"/>
      <c r="CX110" s="19"/>
      <c r="CY110" s="19"/>
      <c r="CZ110" s="19"/>
      <c r="DA110" s="19"/>
      <c r="DB110" s="19"/>
      <c r="DC110" s="19"/>
      <c r="DD110" s="19"/>
      <c r="DE110" s="19"/>
      <c r="DF110" s="19"/>
      <c r="DG110" s="19"/>
      <c r="DH110" s="19"/>
      <c r="DI110" s="19"/>
      <c r="DJ110" s="19"/>
      <c r="DK110" s="19"/>
      <c r="DL110" s="19"/>
      <c r="DM110" s="19"/>
      <c r="DN110" s="19"/>
      <c r="DO110" s="19"/>
      <c r="DP110" s="19"/>
      <c r="DQ110" s="19"/>
      <c r="DR110" s="19"/>
      <c r="DS110" s="19"/>
      <c r="DT110" s="19"/>
      <c r="DU110" s="19"/>
      <c r="DV110" s="19"/>
      <c r="DW110" s="19"/>
      <c r="DX110" s="19"/>
      <c r="DY110" s="19"/>
      <c r="DZ110" s="19"/>
      <c r="EA110" s="19"/>
      <c r="EB110" s="19"/>
      <c r="EC110" s="19"/>
      <c r="ED110" s="19"/>
      <c r="EE110" s="19"/>
      <c r="EF110" s="19"/>
      <c r="EG110" s="19"/>
      <c r="EH110" s="19"/>
      <c r="EI110" s="19"/>
      <c r="EJ110" s="19"/>
      <c r="EK110" s="19"/>
      <c r="EL110" s="19"/>
      <c r="EM110" s="19"/>
      <c r="EN110" s="19"/>
      <c r="EO110" s="19"/>
      <c r="EP110" s="19"/>
      <c r="EQ110" s="19"/>
      <c r="ER110" s="19"/>
      <c r="ES110" s="19"/>
      <c r="ET110" s="19"/>
      <c r="EU110" s="19"/>
      <c r="EV110" s="19"/>
      <c r="EW110" s="19"/>
      <c r="EX110" s="19"/>
      <c r="EY110" s="19"/>
      <c r="EZ110" s="19"/>
      <c r="FA110" s="19"/>
      <c r="FB110" s="19"/>
      <c r="FC110" s="19"/>
      <c r="FD110" s="19"/>
      <c r="FE110" s="19"/>
      <c r="FF110" s="19"/>
      <c r="FG110" s="19"/>
      <c r="FH110" s="19"/>
      <c r="FI110" s="19"/>
      <c r="FJ110" s="19"/>
      <c r="FK110" s="19"/>
      <c r="FL110" s="19"/>
      <c r="FM110" s="19"/>
      <c r="FN110" s="19"/>
      <c r="FO110" s="19"/>
      <c r="FP110" s="19"/>
      <c r="FQ110" s="19"/>
      <c r="FR110" s="19"/>
      <c r="FS110" s="19"/>
      <c r="FT110" s="19"/>
      <c r="FU110" s="19"/>
      <c r="FV110" s="19"/>
      <c r="FW110" s="19"/>
      <c r="FX110" s="19"/>
      <c r="FY110" s="19"/>
      <c r="FZ110" s="19"/>
      <c r="GA110" s="19"/>
      <c r="GB110" s="19"/>
      <c r="GC110" s="19"/>
      <c r="GD110" s="19"/>
      <c r="GE110" s="19"/>
      <c r="GF110" s="19"/>
      <c r="GG110" s="19"/>
      <c r="GH110" s="19"/>
      <c r="GI110" s="19"/>
      <c r="GJ110" s="19"/>
      <c r="GK110" s="19"/>
      <c r="GL110" s="19"/>
      <c r="GM110" s="19"/>
      <c r="GN110" s="19"/>
      <c r="GO110" s="19"/>
      <c r="GP110" s="19"/>
      <c r="GQ110" s="19"/>
      <c r="GR110" s="19"/>
      <c r="GS110" s="19"/>
      <c r="GT110" s="19"/>
      <c r="GU110" s="19"/>
      <c r="GV110" s="19"/>
      <c r="GW110" s="19"/>
      <c r="GX110" s="19"/>
      <c r="GY110" s="19"/>
      <c r="GZ110" s="19"/>
      <c r="HA110" s="19"/>
      <c r="HB110" s="19"/>
      <c r="HC110" s="19"/>
      <c r="HD110" s="19"/>
      <c r="HE110" s="19"/>
      <c r="HF110" s="19"/>
      <c r="HG110" s="19"/>
      <c r="HH110" s="19"/>
      <c r="HI110" s="19"/>
      <c r="HJ110" s="19"/>
      <c r="HK110" s="19"/>
      <c r="HL110" s="19"/>
      <c r="HM110" s="19"/>
      <c r="HN110" s="19"/>
      <c r="HO110" s="19"/>
      <c r="HP110" s="19"/>
      <c r="HQ110" s="19"/>
      <c r="HR110" s="19"/>
      <c r="HS110" s="19"/>
      <c r="HT110" s="19"/>
      <c r="HU110" s="19"/>
      <c r="HV110" s="19"/>
      <c r="HW110" s="19"/>
      <c r="HX110" s="19"/>
      <c r="HY110" s="19"/>
      <c r="HZ110" s="19"/>
      <c r="IA110" s="19"/>
      <c r="IB110" s="19"/>
      <c r="IC110" s="19"/>
      <c r="ID110" s="19"/>
      <c r="IE110" s="19"/>
      <c r="IF110" s="19"/>
    </row>
    <row r="111" spans="1:240" ht="13.5">
      <c r="C111" s="17" t="s">
        <v>38</v>
      </c>
      <c r="D111" s="45" t="s">
        <v>103</v>
      </c>
      <c r="E111" s="30"/>
      <c r="F111" s="43"/>
      <c r="G111" s="43"/>
      <c r="H111" s="36"/>
      <c r="I111" s="36"/>
      <c r="J111" s="36"/>
      <c r="O111" s="19"/>
      <c r="S111" s="113">
        <v>0.02</v>
      </c>
      <c r="T111" s="21">
        <v>0.05</v>
      </c>
      <c r="U111" s="21">
        <v>0.1</v>
      </c>
      <c r="V111" s="21">
        <v>0.15</v>
      </c>
      <c r="W111" s="21">
        <v>0.2</v>
      </c>
      <c r="X111" s="21">
        <v>0.32</v>
      </c>
      <c r="Y111" s="21">
        <v>0.52</v>
      </c>
      <c r="Z111" s="21">
        <v>0.77</v>
      </c>
      <c r="AA111" s="21">
        <v>1</v>
      </c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19"/>
      <c r="CP111" s="19"/>
      <c r="CQ111" s="19"/>
      <c r="CR111" s="19"/>
      <c r="CS111" s="19"/>
      <c r="CT111" s="19"/>
      <c r="CU111" s="19"/>
      <c r="CV111" s="19"/>
      <c r="CW111" s="19"/>
      <c r="CX111" s="19"/>
      <c r="CY111" s="19"/>
      <c r="CZ111" s="19"/>
      <c r="DA111" s="19"/>
      <c r="DB111" s="19"/>
      <c r="DC111" s="19"/>
      <c r="DD111" s="19"/>
      <c r="DE111" s="19"/>
      <c r="DF111" s="19"/>
      <c r="DG111" s="19"/>
      <c r="DH111" s="19"/>
      <c r="DI111" s="19"/>
      <c r="DJ111" s="19"/>
      <c r="DK111" s="19"/>
      <c r="DL111" s="19"/>
      <c r="DM111" s="19"/>
      <c r="DN111" s="19"/>
      <c r="DO111" s="19"/>
      <c r="DP111" s="19"/>
      <c r="DQ111" s="19"/>
      <c r="DR111" s="19"/>
      <c r="DS111" s="19"/>
      <c r="DT111" s="19"/>
      <c r="DU111" s="19"/>
      <c r="DV111" s="19"/>
      <c r="DW111" s="19"/>
      <c r="DX111" s="19"/>
      <c r="DY111" s="19"/>
      <c r="DZ111" s="19"/>
      <c r="EA111" s="19"/>
      <c r="EB111" s="19"/>
      <c r="EC111" s="19"/>
      <c r="ED111" s="19"/>
      <c r="EE111" s="19"/>
      <c r="EF111" s="19"/>
      <c r="EG111" s="19"/>
      <c r="EH111" s="19"/>
      <c r="EI111" s="19"/>
      <c r="EJ111" s="19"/>
      <c r="EK111" s="19"/>
      <c r="EL111" s="19"/>
      <c r="EM111" s="19"/>
      <c r="EN111" s="19"/>
      <c r="EO111" s="19"/>
      <c r="EP111" s="19"/>
      <c r="EQ111" s="19"/>
      <c r="ER111" s="19"/>
      <c r="ES111" s="19"/>
      <c r="ET111" s="19"/>
      <c r="EU111" s="19"/>
      <c r="EV111" s="19"/>
      <c r="EW111" s="19"/>
      <c r="EX111" s="19"/>
      <c r="EY111" s="19"/>
      <c r="EZ111" s="19"/>
      <c r="FA111" s="19"/>
      <c r="FB111" s="19"/>
      <c r="FC111" s="19"/>
      <c r="FD111" s="19"/>
      <c r="FE111" s="19"/>
      <c r="FF111" s="19"/>
      <c r="FG111" s="19"/>
      <c r="FH111" s="19"/>
      <c r="FI111" s="19"/>
      <c r="FJ111" s="19"/>
      <c r="FK111" s="19"/>
      <c r="FL111" s="19"/>
      <c r="FM111" s="19"/>
      <c r="FN111" s="19"/>
      <c r="FO111" s="19"/>
      <c r="FP111" s="19"/>
      <c r="FQ111" s="19"/>
      <c r="FR111" s="19"/>
      <c r="FS111" s="19"/>
      <c r="FT111" s="19"/>
      <c r="FU111" s="19"/>
      <c r="FV111" s="19"/>
      <c r="FW111" s="19"/>
      <c r="FX111" s="19"/>
      <c r="FY111" s="19"/>
      <c r="FZ111" s="19"/>
      <c r="GA111" s="19"/>
      <c r="GB111" s="19"/>
      <c r="GC111" s="19"/>
      <c r="GD111" s="19"/>
      <c r="GE111" s="19"/>
      <c r="GF111" s="19"/>
      <c r="GG111" s="19"/>
      <c r="GH111" s="19"/>
      <c r="GI111" s="19"/>
      <c r="GJ111" s="19"/>
      <c r="GK111" s="19"/>
      <c r="GL111" s="19"/>
      <c r="GM111" s="19"/>
      <c r="GN111" s="19"/>
      <c r="GO111" s="19"/>
      <c r="GP111" s="19"/>
      <c r="GQ111" s="19"/>
      <c r="GR111" s="19"/>
      <c r="GS111" s="19"/>
      <c r="GT111" s="19"/>
      <c r="GU111" s="19"/>
      <c r="GV111" s="19"/>
      <c r="GW111" s="19"/>
      <c r="GX111" s="19"/>
      <c r="GY111" s="19"/>
      <c r="GZ111" s="19"/>
      <c r="HA111" s="19"/>
      <c r="HB111" s="19"/>
      <c r="HC111" s="19"/>
      <c r="HD111" s="19"/>
      <c r="HE111" s="19"/>
      <c r="HF111" s="19"/>
      <c r="HG111" s="19"/>
      <c r="HH111" s="19"/>
      <c r="HI111" s="19"/>
      <c r="HJ111" s="19"/>
      <c r="HK111" s="19"/>
      <c r="HL111" s="19"/>
      <c r="HM111" s="19"/>
      <c r="HN111" s="19"/>
      <c r="HO111" s="19"/>
      <c r="HP111" s="19"/>
      <c r="HQ111" s="19"/>
      <c r="HR111" s="19"/>
      <c r="HS111" s="19"/>
      <c r="HT111" s="19"/>
      <c r="HU111" s="19"/>
      <c r="HV111" s="19"/>
      <c r="HW111" s="19"/>
      <c r="HX111" s="19"/>
      <c r="HY111" s="19"/>
      <c r="HZ111" s="19"/>
      <c r="IA111" s="19"/>
      <c r="IB111" s="19"/>
      <c r="IC111" s="19"/>
      <c r="ID111" s="19"/>
      <c r="IE111" s="19"/>
    </row>
    <row r="112" spans="1:240">
      <c r="C112" s="17" t="s">
        <v>39</v>
      </c>
      <c r="D112" s="45" t="s">
        <v>40</v>
      </c>
      <c r="E112" s="30"/>
      <c r="F112" s="43"/>
      <c r="G112" s="43"/>
      <c r="H112" s="36"/>
      <c r="I112" s="36"/>
      <c r="J112" s="36"/>
      <c r="O112" s="19"/>
      <c r="S112" s="113">
        <v>0.05</v>
      </c>
      <c r="T112" s="21">
        <v>0.1</v>
      </c>
      <c r="U112" s="21">
        <v>0.15</v>
      </c>
      <c r="V112" s="21">
        <v>0.2</v>
      </c>
      <c r="W112" s="21">
        <v>0.27</v>
      </c>
      <c r="X112" s="21">
        <v>0.38</v>
      </c>
      <c r="Y112" s="21">
        <v>0.57999999999999996</v>
      </c>
      <c r="Z112" s="21">
        <v>0.8</v>
      </c>
      <c r="AA112" s="21">
        <v>1</v>
      </c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  <c r="BZ112" s="19"/>
      <c r="CA112" s="19"/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19"/>
      <c r="CP112" s="19"/>
      <c r="CQ112" s="19"/>
      <c r="CR112" s="19"/>
      <c r="CS112" s="19"/>
      <c r="CT112" s="19"/>
      <c r="CU112" s="19"/>
      <c r="CV112" s="19"/>
      <c r="CW112" s="19"/>
      <c r="CX112" s="19"/>
      <c r="CY112" s="19"/>
      <c r="CZ112" s="19"/>
      <c r="DA112" s="19"/>
      <c r="DB112" s="19"/>
      <c r="DC112" s="19"/>
      <c r="DD112" s="19"/>
      <c r="DE112" s="19"/>
      <c r="DF112" s="19"/>
      <c r="DG112" s="19"/>
      <c r="DH112" s="19"/>
      <c r="DI112" s="19"/>
      <c r="DJ112" s="19"/>
      <c r="DK112" s="19"/>
      <c r="DL112" s="19"/>
      <c r="DM112" s="19"/>
      <c r="DN112" s="19"/>
      <c r="DO112" s="19"/>
      <c r="DP112" s="19"/>
      <c r="DQ112" s="19"/>
      <c r="DR112" s="19"/>
      <c r="DS112" s="19"/>
      <c r="DT112" s="19"/>
      <c r="DU112" s="19"/>
      <c r="DV112" s="19"/>
      <c r="DW112" s="19"/>
      <c r="DX112" s="19"/>
      <c r="DY112" s="19"/>
      <c r="DZ112" s="19"/>
      <c r="EA112" s="19"/>
      <c r="EB112" s="19"/>
      <c r="EC112" s="19"/>
      <c r="ED112" s="19"/>
      <c r="EE112" s="19"/>
      <c r="EF112" s="19"/>
      <c r="EG112" s="19"/>
      <c r="EH112" s="19"/>
      <c r="EI112" s="19"/>
      <c r="EJ112" s="19"/>
      <c r="EK112" s="19"/>
      <c r="EL112" s="19"/>
      <c r="EM112" s="19"/>
      <c r="EN112" s="19"/>
      <c r="EO112" s="19"/>
      <c r="EP112" s="19"/>
      <c r="EQ112" s="19"/>
      <c r="ER112" s="19"/>
      <c r="ES112" s="19"/>
      <c r="ET112" s="19"/>
      <c r="EU112" s="19"/>
      <c r="EV112" s="19"/>
      <c r="EW112" s="19"/>
      <c r="EX112" s="19"/>
      <c r="EY112" s="19"/>
      <c r="EZ112" s="19"/>
      <c r="FA112" s="19"/>
      <c r="FB112" s="19"/>
      <c r="FC112" s="19"/>
      <c r="FD112" s="19"/>
      <c r="FE112" s="19"/>
      <c r="FF112" s="19"/>
      <c r="FG112" s="19"/>
      <c r="FH112" s="19"/>
      <c r="FI112" s="19"/>
      <c r="FJ112" s="19"/>
      <c r="FK112" s="19"/>
      <c r="FL112" s="19"/>
      <c r="FM112" s="19"/>
      <c r="FN112" s="19"/>
      <c r="FO112" s="19"/>
      <c r="FP112" s="19"/>
      <c r="FQ112" s="19"/>
      <c r="FR112" s="19"/>
      <c r="FS112" s="19"/>
      <c r="FT112" s="19"/>
      <c r="FU112" s="19"/>
      <c r="FV112" s="19"/>
      <c r="FW112" s="19"/>
      <c r="FX112" s="19"/>
      <c r="FY112" s="19"/>
      <c r="FZ112" s="19"/>
      <c r="GA112" s="19"/>
      <c r="GB112" s="19"/>
      <c r="GC112" s="19"/>
      <c r="GD112" s="19"/>
      <c r="GE112" s="19"/>
      <c r="GF112" s="19"/>
      <c r="GG112" s="19"/>
      <c r="GH112" s="19"/>
      <c r="GI112" s="19"/>
      <c r="GJ112" s="19"/>
      <c r="GK112" s="19"/>
      <c r="GL112" s="19"/>
      <c r="GM112" s="19"/>
      <c r="GN112" s="19"/>
      <c r="GO112" s="19"/>
      <c r="GP112" s="19"/>
      <c r="GQ112" s="19"/>
      <c r="GR112" s="19"/>
      <c r="GS112" s="19"/>
      <c r="GT112" s="19"/>
      <c r="GU112" s="19"/>
      <c r="GV112" s="19"/>
      <c r="GW112" s="19"/>
      <c r="GX112" s="19"/>
      <c r="GY112" s="19"/>
      <c r="GZ112" s="19"/>
      <c r="HA112" s="19"/>
      <c r="HB112" s="19"/>
      <c r="HC112" s="19"/>
      <c r="HD112" s="19"/>
      <c r="HE112" s="19"/>
      <c r="HF112" s="19"/>
      <c r="HG112" s="19"/>
      <c r="HH112" s="19"/>
      <c r="HI112" s="19"/>
      <c r="HJ112" s="19"/>
      <c r="HK112" s="19"/>
      <c r="HL112" s="19"/>
      <c r="HM112" s="19"/>
      <c r="HN112" s="19"/>
      <c r="HO112" s="19"/>
      <c r="HP112" s="19"/>
      <c r="HQ112" s="19"/>
      <c r="HR112" s="19"/>
      <c r="HS112" s="19"/>
      <c r="HT112" s="19"/>
      <c r="HU112" s="19"/>
      <c r="HV112" s="19"/>
      <c r="HW112" s="19"/>
      <c r="HX112" s="19"/>
      <c r="HY112" s="19"/>
      <c r="HZ112" s="19"/>
      <c r="IA112" s="19"/>
      <c r="IB112" s="19"/>
      <c r="IC112" s="19"/>
      <c r="ID112" s="19"/>
      <c r="IE112" s="19"/>
      <c r="IF112" s="19"/>
    </row>
    <row r="113" spans="1:240">
      <c r="D113" s="45" t="s">
        <v>199</v>
      </c>
      <c r="E113" s="30"/>
      <c r="F113" s="43"/>
      <c r="G113" s="43"/>
      <c r="H113" s="36"/>
      <c r="I113" s="36"/>
      <c r="J113" s="36"/>
      <c r="O113" s="19"/>
      <c r="S113" s="115">
        <v>0.1</v>
      </c>
      <c r="T113" s="21">
        <v>0.15</v>
      </c>
      <c r="U113" s="21">
        <v>0.2</v>
      </c>
      <c r="V113" s="21">
        <v>0.27</v>
      </c>
      <c r="W113" s="21">
        <v>0.35</v>
      </c>
      <c r="X113" s="21">
        <v>0.46</v>
      </c>
      <c r="Y113" s="21">
        <v>0.65</v>
      </c>
      <c r="Z113" s="21">
        <v>0.84</v>
      </c>
      <c r="AA113" s="21">
        <v>1</v>
      </c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/>
      <c r="CU113" s="19"/>
      <c r="CV113" s="19"/>
      <c r="CW113" s="19"/>
      <c r="CX113" s="19"/>
      <c r="CY113" s="19"/>
      <c r="CZ113" s="19"/>
      <c r="DA113" s="19"/>
      <c r="DB113" s="19"/>
      <c r="DC113" s="19"/>
      <c r="DD113" s="19"/>
      <c r="DE113" s="19"/>
      <c r="DF113" s="19"/>
      <c r="DG113" s="19"/>
      <c r="DH113" s="19"/>
      <c r="DI113" s="19"/>
      <c r="DJ113" s="19"/>
      <c r="DK113" s="19"/>
      <c r="DL113" s="19"/>
      <c r="DM113" s="19"/>
      <c r="DN113" s="19"/>
      <c r="DO113" s="19"/>
      <c r="DP113" s="19"/>
      <c r="DQ113" s="19"/>
      <c r="DR113" s="19"/>
      <c r="DS113" s="19"/>
      <c r="DT113" s="19"/>
      <c r="DU113" s="19"/>
      <c r="DV113" s="19"/>
      <c r="DW113" s="19"/>
      <c r="DX113" s="19"/>
      <c r="DY113" s="19"/>
      <c r="DZ113" s="19"/>
      <c r="EA113" s="19"/>
      <c r="EB113" s="19"/>
      <c r="EC113" s="19"/>
      <c r="ED113" s="19"/>
      <c r="EE113" s="19"/>
      <c r="EF113" s="19"/>
      <c r="EG113" s="19"/>
      <c r="EH113" s="19"/>
      <c r="EI113" s="19"/>
      <c r="EJ113" s="19"/>
      <c r="EK113" s="19"/>
      <c r="EL113" s="19"/>
      <c r="EM113" s="19"/>
      <c r="EN113" s="19"/>
      <c r="EO113" s="19"/>
      <c r="EP113" s="19"/>
      <c r="EQ113" s="19"/>
      <c r="ER113" s="19"/>
      <c r="ES113" s="19"/>
      <c r="ET113" s="19"/>
      <c r="EU113" s="19"/>
      <c r="EV113" s="19"/>
      <c r="EW113" s="19"/>
      <c r="EX113" s="19"/>
      <c r="EY113" s="19"/>
      <c r="EZ113" s="19"/>
      <c r="FA113" s="19"/>
      <c r="FB113" s="19"/>
      <c r="FC113" s="19"/>
      <c r="FD113" s="19"/>
      <c r="FE113" s="19"/>
      <c r="FF113" s="19"/>
      <c r="FG113" s="19"/>
      <c r="FH113" s="19"/>
      <c r="FI113" s="19"/>
      <c r="FJ113" s="19"/>
      <c r="FK113" s="19"/>
      <c r="FL113" s="19"/>
      <c r="FM113" s="19"/>
      <c r="FN113" s="19"/>
      <c r="FO113" s="19"/>
      <c r="FP113" s="19"/>
      <c r="FQ113" s="19"/>
      <c r="FR113" s="19"/>
      <c r="FS113" s="19"/>
      <c r="FT113" s="19"/>
      <c r="FU113" s="19"/>
      <c r="FV113" s="19"/>
      <c r="FW113" s="19"/>
      <c r="FX113" s="19"/>
      <c r="FY113" s="19"/>
      <c r="FZ113" s="19"/>
      <c r="GA113" s="19"/>
      <c r="GB113" s="19"/>
      <c r="GC113" s="19"/>
      <c r="GD113" s="19"/>
      <c r="GE113" s="19"/>
      <c r="GF113" s="19"/>
      <c r="GG113" s="19"/>
      <c r="GH113" s="19"/>
      <c r="GI113" s="19"/>
      <c r="GJ113" s="19"/>
      <c r="GK113" s="19"/>
      <c r="GL113" s="19"/>
      <c r="GM113" s="19"/>
      <c r="GN113" s="19"/>
      <c r="GO113" s="19"/>
      <c r="GP113" s="19"/>
      <c r="GQ113" s="19"/>
      <c r="GR113" s="19"/>
      <c r="GS113" s="19"/>
      <c r="GT113" s="19"/>
      <c r="GU113" s="19"/>
      <c r="GV113" s="19"/>
      <c r="GW113" s="19"/>
      <c r="GX113" s="19"/>
      <c r="GY113" s="19"/>
      <c r="GZ113" s="19"/>
      <c r="HA113" s="19"/>
      <c r="HB113" s="19"/>
      <c r="HC113" s="19"/>
      <c r="HD113" s="19"/>
      <c r="HE113" s="19"/>
      <c r="HF113" s="19"/>
      <c r="HG113" s="19"/>
      <c r="HH113" s="19"/>
      <c r="HI113" s="19"/>
      <c r="HJ113" s="19"/>
      <c r="HK113" s="19"/>
      <c r="HL113" s="19"/>
      <c r="HM113" s="19"/>
      <c r="HN113" s="19"/>
      <c r="HO113" s="19"/>
      <c r="HP113" s="19"/>
      <c r="HQ113" s="19"/>
      <c r="HR113" s="19"/>
      <c r="HS113" s="19"/>
      <c r="HT113" s="19"/>
      <c r="HU113" s="19"/>
      <c r="HV113" s="19"/>
      <c r="HW113" s="19"/>
      <c r="HX113" s="19"/>
      <c r="HY113" s="19"/>
      <c r="HZ113" s="19"/>
      <c r="IA113" s="19"/>
      <c r="IB113" s="19"/>
      <c r="IC113" s="19"/>
      <c r="ID113" s="19"/>
      <c r="IE113" s="19"/>
      <c r="IF113" s="19"/>
    </row>
    <row r="114" spans="1:240">
      <c r="D114" s="45" t="s">
        <v>200</v>
      </c>
      <c r="E114" s="30"/>
      <c r="F114" s="43"/>
      <c r="G114" s="43"/>
      <c r="H114" s="36"/>
      <c r="I114" s="36"/>
      <c r="J114" s="36"/>
      <c r="O114" s="19"/>
      <c r="S114" s="115">
        <v>0.2</v>
      </c>
      <c r="T114" s="21">
        <v>0.25</v>
      </c>
      <c r="U114" s="21">
        <v>0.3</v>
      </c>
      <c r="V114" s="21">
        <v>0.38</v>
      </c>
      <c r="W114" s="21">
        <v>0.47</v>
      </c>
      <c r="X114" s="21">
        <v>0.57999999999999996</v>
      </c>
      <c r="Y114" s="21">
        <v>0.75</v>
      </c>
      <c r="Z114" s="21">
        <v>0.88</v>
      </c>
      <c r="AA114" s="21">
        <v>1</v>
      </c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19"/>
      <c r="CP114" s="19"/>
      <c r="CQ114" s="19"/>
      <c r="CR114" s="19"/>
      <c r="CS114" s="19"/>
      <c r="CT114" s="19"/>
      <c r="CU114" s="19"/>
      <c r="CV114" s="19"/>
      <c r="CW114" s="19"/>
      <c r="CX114" s="19"/>
      <c r="CY114" s="19"/>
      <c r="CZ114" s="19"/>
      <c r="DA114" s="19"/>
      <c r="DB114" s="19"/>
      <c r="DC114" s="19"/>
      <c r="DD114" s="19"/>
      <c r="DE114" s="19"/>
      <c r="DF114" s="19"/>
      <c r="DG114" s="19"/>
      <c r="DH114" s="19"/>
      <c r="DI114" s="19"/>
      <c r="DJ114" s="19"/>
      <c r="DK114" s="19"/>
      <c r="DL114" s="19"/>
      <c r="DM114" s="19"/>
      <c r="DN114" s="19"/>
      <c r="DO114" s="19"/>
      <c r="DP114" s="19"/>
      <c r="DQ114" s="19"/>
      <c r="DR114" s="19"/>
      <c r="DS114" s="19"/>
      <c r="DT114" s="19"/>
      <c r="DU114" s="19"/>
      <c r="DV114" s="19"/>
      <c r="DW114" s="19"/>
      <c r="DX114" s="19"/>
      <c r="DY114" s="19"/>
      <c r="DZ114" s="19"/>
      <c r="EA114" s="19"/>
      <c r="EB114" s="19"/>
      <c r="EC114" s="19"/>
      <c r="ED114" s="19"/>
      <c r="EE114" s="19"/>
      <c r="EF114" s="19"/>
      <c r="EG114" s="19"/>
      <c r="EH114" s="19"/>
      <c r="EI114" s="19"/>
      <c r="EJ114" s="19"/>
      <c r="EK114" s="19"/>
      <c r="EL114" s="19"/>
      <c r="EM114" s="19"/>
      <c r="EN114" s="19"/>
      <c r="EO114" s="19"/>
      <c r="EP114" s="19"/>
      <c r="EQ114" s="19"/>
      <c r="ER114" s="19"/>
      <c r="ES114" s="19"/>
      <c r="ET114" s="19"/>
      <c r="EU114" s="19"/>
      <c r="EV114" s="19"/>
      <c r="EW114" s="19"/>
      <c r="EX114" s="19"/>
      <c r="EY114" s="19"/>
      <c r="EZ114" s="19"/>
      <c r="FA114" s="19"/>
      <c r="FB114" s="19"/>
      <c r="FC114" s="19"/>
      <c r="FD114" s="19"/>
      <c r="FE114" s="19"/>
      <c r="FF114" s="19"/>
      <c r="FG114" s="19"/>
      <c r="FH114" s="19"/>
      <c r="FI114" s="19"/>
      <c r="FJ114" s="19"/>
      <c r="FK114" s="19"/>
      <c r="FL114" s="19"/>
      <c r="FM114" s="19"/>
      <c r="FN114" s="19"/>
      <c r="FO114" s="19"/>
      <c r="FP114" s="19"/>
      <c r="FQ114" s="19"/>
      <c r="FR114" s="19"/>
      <c r="FS114" s="19"/>
      <c r="FT114" s="19"/>
      <c r="FU114" s="19"/>
      <c r="FV114" s="19"/>
      <c r="FW114" s="19"/>
      <c r="FX114" s="19"/>
      <c r="FY114" s="19"/>
      <c r="FZ114" s="19"/>
      <c r="GA114" s="19"/>
      <c r="GB114" s="19"/>
      <c r="GC114" s="19"/>
      <c r="GD114" s="19"/>
      <c r="GE114" s="19"/>
      <c r="GF114" s="19"/>
      <c r="GG114" s="19"/>
      <c r="GH114" s="19"/>
      <c r="GI114" s="19"/>
      <c r="GJ114" s="19"/>
      <c r="GK114" s="19"/>
      <c r="GL114" s="19"/>
      <c r="GM114" s="19"/>
      <c r="GN114" s="19"/>
      <c r="GO114" s="19"/>
      <c r="GP114" s="19"/>
      <c r="GQ114" s="19"/>
      <c r="GR114" s="19"/>
      <c r="GS114" s="19"/>
      <c r="GT114" s="19"/>
      <c r="GU114" s="19"/>
      <c r="GV114" s="19"/>
      <c r="GW114" s="19"/>
      <c r="GX114" s="19"/>
      <c r="GY114" s="19"/>
      <c r="GZ114" s="19"/>
      <c r="HA114" s="19"/>
      <c r="HB114" s="19"/>
      <c r="HC114" s="19"/>
      <c r="HD114" s="19"/>
      <c r="HE114" s="19"/>
      <c r="HF114" s="19"/>
      <c r="HG114" s="19"/>
      <c r="HH114" s="19"/>
      <c r="HI114" s="19"/>
      <c r="HJ114" s="19"/>
      <c r="HK114" s="19"/>
      <c r="HL114" s="19"/>
      <c r="HM114" s="19"/>
      <c r="HN114" s="19"/>
      <c r="HO114" s="19"/>
      <c r="HP114" s="19"/>
      <c r="HQ114" s="19"/>
      <c r="HR114" s="19"/>
      <c r="HS114" s="19"/>
      <c r="HT114" s="19"/>
      <c r="HU114" s="19"/>
      <c r="HV114" s="19"/>
      <c r="HW114" s="19"/>
      <c r="HX114" s="19"/>
      <c r="HY114" s="19"/>
      <c r="HZ114" s="19"/>
      <c r="IA114" s="19"/>
      <c r="IB114" s="19"/>
      <c r="IC114" s="19"/>
      <c r="ID114" s="19"/>
      <c r="IE114" s="19"/>
      <c r="IF114" s="19"/>
    </row>
    <row r="115" spans="1:240">
      <c r="D115" s="45" t="s">
        <v>201</v>
      </c>
      <c r="E115" s="30"/>
      <c r="F115" s="43"/>
      <c r="G115" s="43"/>
      <c r="H115" s="36"/>
      <c r="I115" s="36"/>
      <c r="J115" s="36"/>
      <c r="O115" s="19"/>
      <c r="S115" s="115">
        <v>0.4</v>
      </c>
      <c r="T115" s="21">
        <v>0.45</v>
      </c>
      <c r="U115" s="21">
        <v>0.5</v>
      </c>
      <c r="V115" s="21">
        <v>0.56000000000000005</v>
      </c>
      <c r="W115" s="21">
        <v>0.64</v>
      </c>
      <c r="X115" s="21">
        <v>0.75</v>
      </c>
      <c r="Y115" s="21">
        <v>0.85</v>
      </c>
      <c r="Z115" s="21">
        <v>0.93</v>
      </c>
      <c r="AA115" s="21">
        <v>1</v>
      </c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  <c r="BF115" s="19"/>
      <c r="BG115" s="19"/>
      <c r="BH115" s="19"/>
      <c r="BI115" s="19"/>
      <c r="BJ115" s="19"/>
      <c r="BK115" s="19"/>
      <c r="BL115" s="19"/>
      <c r="BM115" s="19"/>
      <c r="BN115" s="19"/>
      <c r="BO115" s="19"/>
      <c r="BP115" s="19"/>
      <c r="BQ115" s="19"/>
      <c r="BR115" s="19"/>
      <c r="BS115" s="19"/>
      <c r="BT115" s="19"/>
      <c r="BU115" s="19"/>
      <c r="BV115" s="19"/>
      <c r="BW115" s="19"/>
      <c r="BX115" s="19"/>
      <c r="BY115" s="19"/>
      <c r="BZ115" s="19"/>
      <c r="CA115" s="19"/>
      <c r="CB115" s="19"/>
      <c r="CC115" s="19"/>
      <c r="CD115" s="19"/>
      <c r="CE115" s="19"/>
      <c r="CF115" s="19"/>
      <c r="CG115" s="19"/>
      <c r="CH115" s="19"/>
      <c r="CI115" s="19"/>
      <c r="CJ115" s="19"/>
      <c r="CK115" s="19"/>
      <c r="CL115" s="19"/>
      <c r="CM115" s="19"/>
      <c r="CN115" s="19"/>
      <c r="CO115" s="19"/>
      <c r="CP115" s="19"/>
      <c r="CQ115" s="19"/>
      <c r="CR115" s="19"/>
      <c r="CS115" s="19"/>
      <c r="CT115" s="19"/>
      <c r="CU115" s="19"/>
      <c r="CV115" s="19"/>
      <c r="CW115" s="19"/>
      <c r="CX115" s="19"/>
      <c r="CY115" s="19"/>
      <c r="CZ115" s="19"/>
      <c r="DA115" s="19"/>
      <c r="DB115" s="19"/>
      <c r="DC115" s="19"/>
      <c r="DD115" s="19"/>
      <c r="DE115" s="19"/>
      <c r="DF115" s="19"/>
      <c r="DG115" s="19"/>
      <c r="DH115" s="19"/>
      <c r="DI115" s="19"/>
      <c r="DJ115" s="19"/>
      <c r="DK115" s="19"/>
      <c r="DL115" s="19"/>
      <c r="DM115" s="19"/>
      <c r="DN115" s="19"/>
      <c r="DO115" s="19"/>
      <c r="DP115" s="19"/>
      <c r="DQ115" s="19"/>
      <c r="DR115" s="19"/>
      <c r="DS115" s="19"/>
      <c r="DT115" s="19"/>
      <c r="DU115" s="19"/>
      <c r="DV115" s="19"/>
      <c r="DW115" s="19"/>
      <c r="DX115" s="19"/>
      <c r="DY115" s="19"/>
      <c r="DZ115" s="19"/>
      <c r="EA115" s="19"/>
      <c r="EB115" s="19"/>
      <c r="EC115" s="19"/>
      <c r="ED115" s="19"/>
      <c r="EE115" s="19"/>
      <c r="EF115" s="19"/>
      <c r="EG115" s="19"/>
      <c r="EH115" s="19"/>
      <c r="EI115" s="19"/>
      <c r="EJ115" s="19"/>
      <c r="EK115" s="19"/>
      <c r="EL115" s="19"/>
      <c r="EM115" s="19"/>
      <c r="EN115" s="19"/>
      <c r="EO115" s="19"/>
      <c r="EP115" s="19"/>
      <c r="EQ115" s="19"/>
      <c r="ER115" s="19"/>
      <c r="ES115" s="19"/>
      <c r="ET115" s="19"/>
      <c r="EU115" s="19"/>
      <c r="EV115" s="19"/>
      <c r="EW115" s="19"/>
      <c r="EX115" s="19"/>
      <c r="EY115" s="19"/>
      <c r="EZ115" s="19"/>
      <c r="FA115" s="19"/>
      <c r="FB115" s="19"/>
      <c r="FC115" s="19"/>
      <c r="FD115" s="19"/>
      <c r="FE115" s="19"/>
      <c r="FF115" s="19"/>
      <c r="FG115" s="19"/>
      <c r="FH115" s="19"/>
      <c r="FI115" s="19"/>
      <c r="FJ115" s="19"/>
      <c r="FK115" s="19"/>
      <c r="FL115" s="19"/>
      <c r="FM115" s="19"/>
      <c r="FN115" s="19"/>
      <c r="FO115" s="19"/>
      <c r="FP115" s="19"/>
      <c r="FQ115" s="19"/>
      <c r="FR115" s="19"/>
      <c r="FS115" s="19"/>
      <c r="FT115" s="19"/>
      <c r="FU115" s="19"/>
      <c r="FV115" s="19"/>
      <c r="FW115" s="19"/>
      <c r="FX115" s="19"/>
      <c r="FY115" s="19"/>
      <c r="FZ115" s="19"/>
      <c r="GA115" s="19"/>
      <c r="GB115" s="19"/>
      <c r="GC115" s="19"/>
      <c r="GD115" s="19"/>
      <c r="GE115" s="19"/>
      <c r="GF115" s="19"/>
      <c r="GG115" s="19"/>
      <c r="GH115" s="19"/>
      <c r="GI115" s="19"/>
      <c r="GJ115" s="19"/>
      <c r="GK115" s="19"/>
      <c r="GL115" s="19"/>
      <c r="GM115" s="19"/>
      <c r="GN115" s="19"/>
      <c r="GO115" s="19"/>
      <c r="GP115" s="19"/>
      <c r="GQ115" s="19"/>
      <c r="GR115" s="19"/>
      <c r="GS115" s="19"/>
      <c r="GT115" s="19"/>
      <c r="GU115" s="19"/>
      <c r="GV115" s="19"/>
      <c r="GW115" s="19"/>
      <c r="GX115" s="19"/>
      <c r="GY115" s="19"/>
      <c r="GZ115" s="19"/>
      <c r="HA115" s="19"/>
      <c r="HB115" s="19"/>
      <c r="HC115" s="19"/>
      <c r="HD115" s="19"/>
      <c r="HE115" s="19"/>
      <c r="HF115" s="19"/>
      <c r="HG115" s="19"/>
      <c r="HH115" s="19"/>
      <c r="HI115" s="19"/>
      <c r="HJ115" s="19"/>
      <c r="HK115" s="19"/>
      <c r="HL115" s="19"/>
      <c r="HM115" s="19"/>
      <c r="HN115" s="19"/>
      <c r="HO115" s="19"/>
      <c r="HP115" s="19"/>
      <c r="HQ115" s="19"/>
      <c r="HR115" s="19"/>
      <c r="HS115" s="19"/>
      <c r="HT115" s="19"/>
      <c r="HU115" s="19"/>
      <c r="HV115" s="19"/>
      <c r="HW115" s="19"/>
      <c r="HX115" s="19"/>
      <c r="HY115" s="19"/>
      <c r="HZ115" s="19"/>
      <c r="IA115" s="19"/>
      <c r="IB115" s="19"/>
      <c r="IC115" s="19"/>
      <c r="ID115" s="19"/>
      <c r="IE115" s="19"/>
      <c r="IF115" s="19"/>
    </row>
    <row r="116" spans="1:240">
      <c r="D116" s="45"/>
      <c r="E116" s="30"/>
      <c r="F116" s="43"/>
      <c r="G116" s="43"/>
      <c r="H116" s="36"/>
      <c r="I116" s="36"/>
      <c r="J116" s="36"/>
      <c r="O116" s="19"/>
      <c r="S116" s="115">
        <v>0.6</v>
      </c>
      <c r="T116" s="21">
        <v>0.65</v>
      </c>
      <c r="U116" s="21">
        <v>0.7</v>
      </c>
      <c r="V116" s="21">
        <v>0.75</v>
      </c>
      <c r="W116" s="21">
        <v>0.81</v>
      </c>
      <c r="X116" s="21">
        <v>0.87</v>
      </c>
      <c r="Y116" s="21">
        <v>0.94</v>
      </c>
      <c r="Z116" s="21">
        <v>0.98</v>
      </c>
      <c r="AA116" s="21">
        <v>1</v>
      </c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  <c r="BF116" s="19"/>
      <c r="BG116" s="19"/>
      <c r="BH116" s="19"/>
      <c r="BI116" s="19"/>
      <c r="BJ116" s="19"/>
      <c r="BK116" s="19"/>
      <c r="BL116" s="19"/>
      <c r="BM116" s="19"/>
      <c r="BN116" s="19"/>
      <c r="BO116" s="19"/>
      <c r="BP116" s="19"/>
      <c r="BQ116" s="19"/>
      <c r="BR116" s="19"/>
      <c r="BS116" s="19"/>
      <c r="BT116" s="19"/>
      <c r="BU116" s="19"/>
      <c r="BV116" s="19"/>
      <c r="BW116" s="19"/>
      <c r="BX116" s="19"/>
      <c r="BY116" s="19"/>
      <c r="BZ116" s="19"/>
      <c r="CA116" s="19"/>
      <c r="CB116" s="19"/>
      <c r="CC116" s="19"/>
      <c r="CD116" s="19"/>
      <c r="CE116" s="19"/>
      <c r="CF116" s="19"/>
      <c r="CG116" s="19"/>
      <c r="CH116" s="19"/>
      <c r="CI116" s="19"/>
      <c r="CJ116" s="19"/>
      <c r="CK116" s="19"/>
      <c r="CL116" s="19"/>
      <c r="CM116" s="19"/>
      <c r="CN116" s="19"/>
      <c r="CO116" s="19"/>
      <c r="CP116" s="19"/>
      <c r="CQ116" s="19"/>
      <c r="CR116" s="19"/>
      <c r="CS116" s="19"/>
      <c r="CT116" s="19"/>
      <c r="CU116" s="19"/>
      <c r="CV116" s="19"/>
      <c r="CW116" s="19"/>
      <c r="CX116" s="19"/>
      <c r="CY116" s="19"/>
      <c r="CZ116" s="19"/>
      <c r="DA116" s="19"/>
      <c r="DB116" s="19"/>
      <c r="DC116" s="19"/>
      <c r="DD116" s="19"/>
      <c r="DE116" s="19"/>
      <c r="DF116" s="19"/>
      <c r="DG116" s="19"/>
      <c r="DH116" s="19"/>
      <c r="DI116" s="19"/>
      <c r="DJ116" s="19"/>
      <c r="DK116" s="19"/>
      <c r="DL116" s="19"/>
      <c r="DM116" s="19"/>
      <c r="DN116" s="19"/>
      <c r="DO116" s="19"/>
      <c r="DP116" s="19"/>
      <c r="DQ116" s="19"/>
      <c r="DR116" s="19"/>
      <c r="DS116" s="19"/>
      <c r="DT116" s="19"/>
      <c r="DU116" s="19"/>
      <c r="DV116" s="19"/>
      <c r="DW116" s="19"/>
      <c r="DX116" s="19"/>
      <c r="DY116" s="19"/>
      <c r="DZ116" s="19"/>
      <c r="EA116" s="19"/>
      <c r="EB116" s="19"/>
      <c r="EC116" s="19"/>
      <c r="ED116" s="19"/>
      <c r="EE116" s="19"/>
      <c r="EF116" s="19"/>
      <c r="EG116" s="19"/>
      <c r="EH116" s="19"/>
      <c r="EI116" s="19"/>
      <c r="EJ116" s="19"/>
      <c r="EK116" s="19"/>
      <c r="EL116" s="19"/>
      <c r="EM116" s="19"/>
      <c r="EN116" s="19"/>
      <c r="EO116" s="19"/>
      <c r="EP116" s="19"/>
      <c r="EQ116" s="19"/>
      <c r="ER116" s="19"/>
      <c r="ES116" s="19"/>
      <c r="ET116" s="19"/>
      <c r="EU116" s="19"/>
      <c r="EV116" s="19"/>
      <c r="EW116" s="19"/>
      <c r="EX116" s="19"/>
      <c r="EY116" s="19"/>
      <c r="EZ116" s="19"/>
      <c r="FA116" s="19"/>
      <c r="FB116" s="19"/>
      <c r="FC116" s="19"/>
      <c r="FD116" s="19"/>
      <c r="FE116" s="19"/>
      <c r="FF116" s="19"/>
      <c r="FG116" s="19"/>
      <c r="FH116" s="19"/>
      <c r="FI116" s="19"/>
      <c r="FJ116" s="19"/>
      <c r="FK116" s="19"/>
      <c r="FL116" s="19"/>
      <c r="FM116" s="19"/>
      <c r="FN116" s="19"/>
      <c r="FO116" s="19"/>
      <c r="FP116" s="19"/>
      <c r="FQ116" s="19"/>
      <c r="FR116" s="19"/>
      <c r="FS116" s="19"/>
      <c r="FT116" s="19"/>
      <c r="FU116" s="19"/>
      <c r="FV116" s="19"/>
      <c r="FW116" s="19"/>
      <c r="FX116" s="19"/>
      <c r="FY116" s="19"/>
      <c r="FZ116" s="19"/>
      <c r="GA116" s="19"/>
      <c r="GB116" s="19"/>
      <c r="GC116" s="19"/>
      <c r="GD116" s="19"/>
      <c r="GE116" s="19"/>
      <c r="GF116" s="19"/>
      <c r="GG116" s="19"/>
      <c r="GH116" s="19"/>
      <c r="GI116" s="19"/>
      <c r="GJ116" s="19"/>
      <c r="GK116" s="19"/>
      <c r="GL116" s="19"/>
      <c r="GM116" s="19"/>
      <c r="GN116" s="19"/>
      <c r="GO116" s="19"/>
      <c r="GP116" s="19"/>
      <c r="GQ116" s="19"/>
      <c r="GR116" s="19"/>
      <c r="GS116" s="19"/>
      <c r="GT116" s="19"/>
      <c r="GU116" s="19"/>
      <c r="GV116" s="19"/>
      <c r="GW116" s="19"/>
      <c r="GX116" s="19"/>
      <c r="GY116" s="19"/>
      <c r="GZ116" s="19"/>
      <c r="HA116" s="19"/>
      <c r="HB116" s="19"/>
      <c r="HC116" s="19"/>
      <c r="HD116" s="19"/>
      <c r="HE116" s="19"/>
      <c r="HF116" s="19"/>
      <c r="HG116" s="19"/>
      <c r="HH116" s="19"/>
      <c r="HI116" s="19"/>
      <c r="HJ116" s="19"/>
      <c r="HK116" s="19"/>
      <c r="HL116" s="19"/>
      <c r="HM116" s="19"/>
      <c r="HN116" s="19"/>
      <c r="HO116" s="19"/>
      <c r="HP116" s="19"/>
      <c r="HQ116" s="19"/>
      <c r="HR116" s="19"/>
      <c r="HS116" s="19"/>
      <c r="HT116" s="19"/>
      <c r="HU116" s="19"/>
      <c r="HV116" s="19"/>
      <c r="HW116" s="19"/>
      <c r="HX116" s="19"/>
      <c r="HY116" s="19"/>
      <c r="HZ116" s="19"/>
      <c r="IA116" s="19"/>
      <c r="IB116" s="19"/>
      <c r="IC116" s="19"/>
      <c r="ID116" s="19"/>
      <c r="IE116" s="19"/>
      <c r="IF116" s="19"/>
    </row>
    <row r="117" spans="1:240">
      <c r="D117" s="37"/>
      <c r="E117" s="30"/>
      <c r="F117" s="43"/>
      <c r="G117" s="43"/>
      <c r="H117" s="36"/>
      <c r="I117" s="36"/>
      <c r="J117" s="36"/>
      <c r="O117" s="113" t="s">
        <v>198</v>
      </c>
      <c r="P117" s="113" t="s">
        <v>46</v>
      </c>
      <c r="Q117" s="113" t="s">
        <v>197</v>
      </c>
      <c r="S117" s="115">
        <v>0.8</v>
      </c>
      <c r="T117" s="21">
        <v>0.84</v>
      </c>
      <c r="U117" s="21">
        <v>0.87</v>
      </c>
      <c r="V117" s="21">
        <v>0.9</v>
      </c>
      <c r="W117" s="21">
        <v>0.93</v>
      </c>
      <c r="X117" s="21">
        <v>0.96</v>
      </c>
      <c r="Y117" s="21">
        <v>0.98</v>
      </c>
      <c r="Z117" s="21">
        <v>1</v>
      </c>
      <c r="AA117" s="21">
        <v>1</v>
      </c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  <c r="BF117" s="19"/>
      <c r="BG117" s="19"/>
      <c r="BH117" s="19"/>
      <c r="BI117" s="19"/>
      <c r="BJ117" s="19"/>
      <c r="BK117" s="19"/>
      <c r="BL117" s="19"/>
      <c r="BM117" s="19"/>
      <c r="BN117" s="19"/>
      <c r="BO117" s="19"/>
      <c r="BP117" s="19"/>
      <c r="BQ117" s="19"/>
      <c r="BR117" s="19"/>
      <c r="BS117" s="19"/>
      <c r="BT117" s="19"/>
      <c r="BU117" s="19"/>
      <c r="BV117" s="19"/>
      <c r="BW117" s="19"/>
      <c r="BX117" s="19"/>
      <c r="BY117" s="19"/>
      <c r="BZ117" s="19"/>
      <c r="CA117" s="19"/>
      <c r="CB117" s="19"/>
      <c r="CC117" s="19"/>
      <c r="CD117" s="19"/>
      <c r="CE117" s="19"/>
      <c r="CF117" s="19"/>
      <c r="CG117" s="19"/>
      <c r="CH117" s="19"/>
      <c r="CI117" s="19"/>
      <c r="CJ117" s="19"/>
      <c r="CK117" s="19"/>
      <c r="CL117" s="19"/>
      <c r="CM117" s="19"/>
      <c r="CN117" s="19"/>
      <c r="CO117" s="19"/>
      <c r="CP117" s="19"/>
      <c r="CQ117" s="19"/>
      <c r="CR117" s="19"/>
      <c r="CS117" s="19"/>
      <c r="CT117" s="19"/>
      <c r="CU117" s="19"/>
      <c r="CV117" s="19"/>
      <c r="CW117" s="19"/>
      <c r="CX117" s="19"/>
      <c r="CY117" s="19"/>
      <c r="CZ117" s="19"/>
      <c r="DA117" s="19"/>
      <c r="DB117" s="19"/>
      <c r="DC117" s="19"/>
      <c r="DD117" s="19"/>
      <c r="DE117" s="19"/>
      <c r="DF117" s="19"/>
      <c r="DG117" s="19"/>
      <c r="DH117" s="19"/>
      <c r="DI117" s="19"/>
      <c r="DJ117" s="19"/>
      <c r="DK117" s="19"/>
      <c r="DL117" s="19"/>
      <c r="DM117" s="19"/>
      <c r="DN117" s="19"/>
      <c r="DO117" s="19"/>
      <c r="DP117" s="19"/>
      <c r="DQ117" s="19"/>
      <c r="DR117" s="19"/>
      <c r="DS117" s="19"/>
      <c r="DT117" s="19"/>
      <c r="DU117" s="19"/>
      <c r="DV117" s="19"/>
      <c r="DW117" s="19"/>
      <c r="DX117" s="19"/>
      <c r="DY117" s="19"/>
      <c r="DZ117" s="19"/>
      <c r="EA117" s="19"/>
      <c r="EB117" s="19"/>
      <c r="EC117" s="19"/>
      <c r="ED117" s="19"/>
      <c r="EE117" s="19"/>
      <c r="EF117" s="19"/>
      <c r="EG117" s="19"/>
      <c r="EH117" s="19"/>
      <c r="EI117" s="19"/>
      <c r="EJ117" s="19"/>
      <c r="EK117" s="19"/>
      <c r="EL117" s="19"/>
      <c r="EM117" s="19"/>
      <c r="EN117" s="19"/>
      <c r="EO117" s="19"/>
      <c r="EP117" s="19"/>
      <c r="EQ117" s="19"/>
      <c r="ER117" s="19"/>
      <c r="ES117" s="19"/>
      <c r="ET117" s="19"/>
      <c r="EU117" s="19"/>
      <c r="EV117" s="19"/>
      <c r="EW117" s="19"/>
      <c r="EX117" s="19"/>
      <c r="EY117" s="19"/>
      <c r="EZ117" s="19"/>
      <c r="FA117" s="19"/>
      <c r="FB117" s="19"/>
      <c r="FC117" s="19"/>
      <c r="FD117" s="19"/>
      <c r="FE117" s="19"/>
      <c r="FF117" s="19"/>
      <c r="FG117" s="19"/>
      <c r="FH117" s="19"/>
      <c r="FI117" s="19"/>
      <c r="FJ117" s="19"/>
      <c r="FK117" s="19"/>
      <c r="FL117" s="19"/>
      <c r="FM117" s="19"/>
      <c r="FN117" s="19"/>
      <c r="FO117" s="19"/>
      <c r="FP117" s="19"/>
      <c r="FQ117" s="19"/>
      <c r="FR117" s="19"/>
      <c r="FS117" s="19"/>
      <c r="FT117" s="19"/>
      <c r="FU117" s="19"/>
      <c r="FV117" s="19"/>
      <c r="FW117" s="19"/>
      <c r="FX117" s="19"/>
      <c r="FY117" s="19"/>
      <c r="FZ117" s="19"/>
      <c r="GA117" s="19"/>
      <c r="GB117" s="19"/>
      <c r="GC117" s="19"/>
      <c r="GD117" s="19"/>
      <c r="GE117" s="19"/>
      <c r="GF117" s="19"/>
      <c r="GG117" s="19"/>
      <c r="GH117" s="19"/>
      <c r="GI117" s="19"/>
      <c r="GJ117" s="19"/>
      <c r="GK117" s="19"/>
      <c r="GL117" s="19"/>
      <c r="GM117" s="19"/>
      <c r="GN117" s="19"/>
      <c r="GO117" s="19"/>
      <c r="GP117" s="19"/>
      <c r="GQ117" s="19"/>
      <c r="GR117" s="19"/>
      <c r="GS117" s="19"/>
      <c r="GT117" s="19"/>
      <c r="GU117" s="19"/>
      <c r="GV117" s="19"/>
      <c r="GW117" s="19"/>
      <c r="GX117" s="19"/>
      <c r="GY117" s="19"/>
      <c r="GZ117" s="19"/>
      <c r="HA117" s="19"/>
      <c r="HB117" s="19"/>
      <c r="HC117" s="19"/>
      <c r="HD117" s="19"/>
      <c r="HE117" s="19"/>
      <c r="HF117" s="19"/>
      <c r="HG117" s="19"/>
      <c r="HH117" s="19"/>
      <c r="HI117" s="19"/>
      <c r="HJ117" s="19"/>
      <c r="HK117" s="19"/>
      <c r="HL117" s="19"/>
      <c r="HM117" s="19"/>
      <c r="HN117" s="19"/>
      <c r="HO117" s="19"/>
      <c r="HP117" s="19"/>
      <c r="HQ117" s="19"/>
      <c r="HR117" s="19"/>
      <c r="HS117" s="19"/>
      <c r="HT117" s="19"/>
      <c r="HU117" s="19"/>
      <c r="HV117" s="19"/>
      <c r="HW117" s="19"/>
      <c r="HX117" s="19"/>
      <c r="HY117" s="19"/>
      <c r="HZ117" s="19"/>
      <c r="IA117" s="19"/>
      <c r="IB117" s="19"/>
      <c r="IC117" s="19"/>
      <c r="ID117" s="19"/>
      <c r="IE117" s="19"/>
      <c r="IF117" s="19"/>
    </row>
    <row r="118" spans="1:240">
      <c r="A118" s="17" t="s">
        <v>41</v>
      </c>
      <c r="I118" s="36"/>
      <c r="J118" s="36"/>
      <c r="O118" s="114">
        <v>1</v>
      </c>
      <c r="P118" s="114">
        <v>0.105</v>
      </c>
      <c r="Q118" s="114">
        <v>14000</v>
      </c>
      <c r="S118" s="115">
        <v>1</v>
      </c>
      <c r="T118" s="21">
        <v>1</v>
      </c>
      <c r="U118" s="21">
        <v>1</v>
      </c>
      <c r="V118" s="240">
        <v>1</v>
      </c>
      <c r="W118" s="240">
        <v>1</v>
      </c>
      <c r="X118" s="21">
        <v>1</v>
      </c>
      <c r="Y118" s="242">
        <v>1</v>
      </c>
      <c r="Z118" s="242">
        <v>1</v>
      </c>
      <c r="AA118" s="21">
        <v>1</v>
      </c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  <c r="BF118" s="19"/>
      <c r="BG118" s="19"/>
      <c r="BH118" s="19"/>
      <c r="BI118" s="19"/>
      <c r="BJ118" s="19"/>
      <c r="BK118" s="19"/>
      <c r="BL118" s="19"/>
      <c r="BM118" s="19"/>
      <c r="BN118" s="19"/>
      <c r="BO118" s="19"/>
      <c r="BP118" s="19"/>
      <c r="BQ118" s="19"/>
      <c r="BR118" s="19"/>
      <c r="BS118" s="19"/>
      <c r="BT118" s="19"/>
      <c r="BU118" s="19"/>
      <c r="BV118" s="19"/>
      <c r="BW118" s="19"/>
      <c r="BX118" s="19"/>
      <c r="BY118" s="19"/>
      <c r="BZ118" s="19"/>
      <c r="CA118" s="19"/>
      <c r="CB118" s="19"/>
      <c r="CC118" s="19"/>
      <c r="CD118" s="19"/>
      <c r="CE118" s="19"/>
      <c r="CF118" s="19"/>
      <c r="CG118" s="19"/>
      <c r="CH118" s="19"/>
      <c r="CI118" s="19"/>
      <c r="CJ118" s="19"/>
      <c r="CK118" s="19"/>
      <c r="CL118" s="19"/>
      <c r="CM118" s="19"/>
      <c r="CN118" s="19"/>
      <c r="CO118" s="19"/>
      <c r="CP118" s="19"/>
      <c r="CQ118" s="19"/>
      <c r="CR118" s="19"/>
      <c r="CS118" s="19"/>
      <c r="CT118" s="19"/>
      <c r="CU118" s="19"/>
      <c r="CV118" s="19"/>
      <c r="CW118" s="19"/>
      <c r="CX118" s="19"/>
      <c r="CY118" s="19"/>
      <c r="CZ118" s="19"/>
      <c r="DA118" s="19"/>
      <c r="DB118" s="19"/>
      <c r="DC118" s="19"/>
      <c r="DD118" s="19"/>
      <c r="DE118" s="19"/>
      <c r="DF118" s="19"/>
      <c r="DG118" s="19"/>
      <c r="DH118" s="19"/>
      <c r="DI118" s="19"/>
      <c r="DJ118" s="19"/>
      <c r="DK118" s="19"/>
      <c r="DL118" s="19"/>
      <c r="DM118" s="19"/>
      <c r="DN118" s="19"/>
      <c r="DO118" s="19"/>
      <c r="DP118" s="19"/>
      <c r="DQ118" s="19"/>
      <c r="DR118" s="19"/>
      <c r="DS118" s="19"/>
      <c r="DT118" s="19"/>
      <c r="DU118" s="19"/>
      <c r="DV118" s="19"/>
      <c r="DW118" s="19"/>
      <c r="DX118" s="19"/>
      <c r="DY118" s="19"/>
      <c r="DZ118" s="19"/>
      <c r="EA118" s="19"/>
      <c r="EB118" s="19"/>
      <c r="EC118" s="19"/>
      <c r="ED118" s="19"/>
      <c r="EE118" s="19"/>
      <c r="EF118" s="19"/>
      <c r="EG118" s="19"/>
      <c r="EH118" s="19"/>
      <c r="EI118" s="19"/>
      <c r="EJ118" s="19"/>
      <c r="EK118" s="19"/>
      <c r="EL118" s="19"/>
      <c r="EM118" s="19"/>
      <c r="EN118" s="19"/>
      <c r="EO118" s="19"/>
      <c r="EP118" s="19"/>
      <c r="EQ118" s="19"/>
      <c r="ER118" s="19"/>
      <c r="ES118" s="19"/>
      <c r="ET118" s="19"/>
      <c r="EU118" s="19"/>
      <c r="EV118" s="19"/>
      <c r="EW118" s="19"/>
      <c r="EX118" s="19"/>
      <c r="EY118" s="19"/>
      <c r="EZ118" s="19"/>
      <c r="FA118" s="19"/>
      <c r="FB118" s="19"/>
      <c r="FC118" s="19"/>
      <c r="FD118" s="19"/>
      <c r="FE118" s="19"/>
      <c r="FF118" s="19"/>
      <c r="FG118" s="19"/>
      <c r="FH118" s="19"/>
      <c r="FI118" s="19"/>
      <c r="FJ118" s="19"/>
      <c r="FK118" s="19"/>
      <c r="FL118" s="19"/>
      <c r="FM118" s="19"/>
      <c r="FN118" s="19"/>
      <c r="FO118" s="19"/>
      <c r="FP118" s="19"/>
      <c r="FQ118" s="19"/>
      <c r="FR118" s="19"/>
      <c r="FS118" s="19"/>
      <c r="FT118" s="19"/>
      <c r="FU118" s="19"/>
      <c r="FV118" s="19"/>
      <c r="FW118" s="19"/>
      <c r="FX118" s="19"/>
      <c r="FY118" s="19"/>
      <c r="FZ118" s="19"/>
      <c r="GA118" s="19"/>
      <c r="GB118" s="19"/>
      <c r="GC118" s="19"/>
      <c r="GD118" s="19"/>
      <c r="GE118" s="19"/>
      <c r="GF118" s="19"/>
      <c r="GG118" s="19"/>
      <c r="GH118" s="19"/>
      <c r="GI118" s="19"/>
      <c r="GJ118" s="19"/>
      <c r="GK118" s="19"/>
      <c r="GL118" s="19"/>
      <c r="GM118" s="19"/>
      <c r="GN118" s="19"/>
      <c r="GO118" s="19"/>
      <c r="GP118" s="19"/>
      <c r="GQ118" s="19"/>
      <c r="GR118" s="19"/>
      <c r="GS118" s="19"/>
      <c r="GT118" s="19"/>
      <c r="GU118" s="19"/>
      <c r="GV118" s="19"/>
      <c r="GW118" s="19"/>
      <c r="GX118" s="19"/>
      <c r="GY118" s="19"/>
      <c r="GZ118" s="19"/>
      <c r="HA118" s="19"/>
      <c r="HB118" s="19"/>
      <c r="HC118" s="19"/>
      <c r="HD118" s="19"/>
      <c r="HE118" s="19"/>
      <c r="HF118" s="19"/>
      <c r="HG118" s="19"/>
      <c r="HH118" s="19"/>
      <c r="HI118" s="19"/>
      <c r="HJ118" s="19"/>
      <c r="HK118" s="19"/>
      <c r="HL118" s="19"/>
      <c r="HM118" s="19"/>
      <c r="HN118" s="19"/>
      <c r="HO118" s="19"/>
      <c r="HP118" s="19"/>
      <c r="HQ118" s="19"/>
      <c r="HR118" s="19"/>
      <c r="HS118" s="19"/>
      <c r="HT118" s="19"/>
      <c r="HU118" s="19"/>
      <c r="HV118" s="19"/>
      <c r="HW118" s="19"/>
      <c r="HX118" s="19"/>
      <c r="HY118" s="19"/>
      <c r="HZ118" s="19"/>
      <c r="IA118" s="19"/>
      <c r="IB118" s="19"/>
      <c r="IC118" s="19"/>
      <c r="ID118" s="19"/>
      <c r="IE118" s="19"/>
      <c r="IF118" s="19"/>
    </row>
    <row r="119" spans="1:240">
      <c r="C119" s="47"/>
      <c r="I119" s="36"/>
      <c r="J119" s="36"/>
      <c r="O119" s="117">
        <v>2</v>
      </c>
      <c r="P119" s="117">
        <v>0.1</v>
      </c>
      <c r="Q119" s="117">
        <v>11000</v>
      </c>
      <c r="S119" s="115">
        <v>1.5</v>
      </c>
      <c r="T119" s="21">
        <v>1.4</v>
      </c>
      <c r="U119" s="21">
        <v>1.3</v>
      </c>
      <c r="V119" s="240">
        <v>1.2</v>
      </c>
      <c r="W119" s="240">
        <v>1.1200000000000001</v>
      </c>
      <c r="X119" s="21">
        <v>1.06</v>
      </c>
      <c r="Y119" s="242">
        <v>1.03</v>
      </c>
      <c r="Z119" s="242">
        <v>1</v>
      </c>
      <c r="AA119" s="21">
        <v>1</v>
      </c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  <c r="BF119" s="19"/>
      <c r="BG119" s="19"/>
      <c r="BH119" s="19"/>
      <c r="BI119" s="19"/>
      <c r="BJ119" s="19"/>
      <c r="BK119" s="19"/>
      <c r="BL119" s="19"/>
      <c r="BM119" s="19"/>
      <c r="BN119" s="19"/>
      <c r="BO119" s="19"/>
      <c r="BP119" s="19"/>
      <c r="BQ119" s="19"/>
      <c r="BR119" s="19"/>
      <c r="BS119" s="19"/>
      <c r="BT119" s="19"/>
      <c r="BU119" s="19"/>
      <c r="BV119" s="19"/>
      <c r="BW119" s="19"/>
      <c r="BX119" s="19"/>
      <c r="BY119" s="19"/>
      <c r="BZ119" s="19"/>
      <c r="CA119" s="19"/>
      <c r="CB119" s="19"/>
      <c r="CC119" s="19"/>
      <c r="CD119" s="19"/>
      <c r="CE119" s="19"/>
      <c r="CF119" s="19"/>
      <c r="CG119" s="19"/>
      <c r="CH119" s="19"/>
      <c r="CI119" s="19"/>
      <c r="CJ119" s="19"/>
      <c r="CK119" s="19"/>
      <c r="CL119" s="19"/>
      <c r="CM119" s="19"/>
      <c r="CN119" s="19"/>
      <c r="CO119" s="19"/>
      <c r="CP119" s="19"/>
      <c r="CQ119" s="19"/>
      <c r="CR119" s="19"/>
      <c r="CS119" s="19"/>
      <c r="CT119" s="19"/>
      <c r="CU119" s="19"/>
      <c r="CV119" s="19"/>
      <c r="CW119" s="19"/>
      <c r="CX119" s="19"/>
      <c r="CY119" s="19"/>
      <c r="CZ119" s="19"/>
      <c r="DA119" s="19"/>
      <c r="DB119" s="19"/>
      <c r="DC119" s="19"/>
      <c r="DD119" s="19"/>
      <c r="DE119" s="19"/>
      <c r="DF119" s="19"/>
      <c r="DG119" s="19"/>
      <c r="DH119" s="19"/>
      <c r="DI119" s="19"/>
      <c r="DJ119" s="19"/>
      <c r="DK119" s="19"/>
      <c r="DL119" s="19"/>
      <c r="DM119" s="19"/>
      <c r="DN119" s="19"/>
      <c r="DO119" s="19"/>
      <c r="DP119" s="19"/>
      <c r="DQ119" s="19"/>
      <c r="DR119" s="19"/>
      <c r="DS119" s="19"/>
      <c r="DT119" s="19"/>
      <c r="DU119" s="19"/>
      <c r="DV119" s="19"/>
      <c r="DW119" s="19"/>
      <c r="DX119" s="19"/>
      <c r="DY119" s="19"/>
      <c r="DZ119" s="19"/>
      <c r="EA119" s="19"/>
      <c r="EB119" s="19"/>
      <c r="EC119" s="19"/>
      <c r="ED119" s="19"/>
      <c r="EE119" s="19"/>
      <c r="EF119" s="19"/>
      <c r="EG119" s="19"/>
      <c r="EH119" s="19"/>
      <c r="EI119" s="19"/>
      <c r="EJ119" s="19"/>
      <c r="EK119" s="19"/>
      <c r="EL119" s="19"/>
      <c r="EM119" s="19"/>
      <c r="EN119" s="19"/>
      <c r="EO119" s="19"/>
      <c r="EP119" s="19"/>
      <c r="EQ119" s="19"/>
      <c r="ER119" s="19"/>
      <c r="ES119" s="19"/>
      <c r="ET119" s="19"/>
      <c r="EU119" s="19"/>
      <c r="EV119" s="19"/>
      <c r="EW119" s="19"/>
      <c r="EX119" s="19"/>
      <c r="EY119" s="19"/>
      <c r="EZ119" s="19"/>
      <c r="FA119" s="19"/>
      <c r="FB119" s="19"/>
      <c r="FC119" s="19"/>
      <c r="FD119" s="19"/>
      <c r="FE119" s="19"/>
      <c r="FF119" s="19"/>
      <c r="FG119" s="19"/>
      <c r="FH119" s="19"/>
      <c r="FI119" s="19"/>
      <c r="FJ119" s="19"/>
      <c r="FK119" s="19"/>
      <c r="FL119" s="19"/>
      <c r="FM119" s="19"/>
      <c r="FN119" s="19"/>
      <c r="FO119" s="19"/>
      <c r="FP119" s="19"/>
      <c r="FQ119" s="19"/>
      <c r="FR119" s="19"/>
      <c r="FS119" s="19"/>
      <c r="FT119" s="19"/>
      <c r="FU119" s="19"/>
      <c r="FV119" s="19"/>
      <c r="FW119" s="19"/>
      <c r="FX119" s="19"/>
      <c r="FY119" s="19"/>
      <c r="FZ119" s="19"/>
      <c r="GA119" s="19"/>
      <c r="GB119" s="19"/>
      <c r="GC119" s="19"/>
      <c r="GD119" s="19"/>
      <c r="GE119" s="19"/>
      <c r="GF119" s="19"/>
      <c r="GG119" s="19"/>
      <c r="GH119" s="19"/>
      <c r="GI119" s="19"/>
      <c r="GJ119" s="19"/>
      <c r="GK119" s="19"/>
      <c r="GL119" s="19"/>
      <c r="GM119" s="19"/>
      <c r="GN119" s="19"/>
      <c r="GO119" s="19"/>
      <c r="GP119" s="19"/>
      <c r="GQ119" s="19"/>
      <c r="GR119" s="19"/>
      <c r="GS119" s="19"/>
      <c r="GT119" s="19"/>
      <c r="GU119" s="19"/>
      <c r="GV119" s="19"/>
      <c r="GW119" s="19"/>
      <c r="GX119" s="19"/>
      <c r="GY119" s="19"/>
      <c r="GZ119" s="19"/>
      <c r="HA119" s="19"/>
      <c r="HB119" s="19"/>
      <c r="HC119" s="19"/>
      <c r="HD119" s="19"/>
      <c r="HE119" s="19"/>
      <c r="HF119" s="19"/>
      <c r="HG119" s="19"/>
      <c r="HH119" s="19"/>
      <c r="HI119" s="19"/>
      <c r="HJ119" s="19"/>
      <c r="HK119" s="19"/>
      <c r="HL119" s="19"/>
      <c r="HM119" s="19"/>
      <c r="HN119" s="19"/>
      <c r="HO119" s="19"/>
      <c r="HP119" s="19"/>
      <c r="HQ119" s="19"/>
      <c r="HR119" s="19"/>
      <c r="HS119" s="19"/>
      <c r="HT119" s="19"/>
      <c r="HU119" s="19"/>
      <c r="HV119" s="19"/>
      <c r="HW119" s="19"/>
      <c r="HX119" s="19"/>
      <c r="HY119" s="19"/>
      <c r="HZ119" s="19"/>
      <c r="IA119" s="19"/>
      <c r="IB119" s="19"/>
      <c r="IC119" s="19"/>
      <c r="ID119" s="19"/>
      <c r="IE119" s="19"/>
      <c r="IF119" s="19"/>
    </row>
    <row r="120" spans="1:240" ht="13.5">
      <c r="B120" s="48" t="s">
        <v>102</v>
      </c>
      <c r="C120" s="49"/>
      <c r="D120" s="41">
        <v>1.5</v>
      </c>
      <c r="E120" s="72"/>
      <c r="F120" s="72"/>
      <c r="G120" s="72"/>
      <c r="H120" s="72"/>
      <c r="I120" s="36"/>
      <c r="J120" s="36"/>
      <c r="K120" s="72"/>
      <c r="L120" s="72"/>
      <c r="O120" s="114">
        <v>3</v>
      </c>
      <c r="P120" s="114">
        <v>9.6000000000000002E-2</v>
      </c>
      <c r="Q120" s="114">
        <v>4000</v>
      </c>
      <c r="S120" s="115">
        <v>2</v>
      </c>
      <c r="T120" s="21">
        <v>1.7</v>
      </c>
      <c r="U120" s="21">
        <v>1.5</v>
      </c>
      <c r="V120" s="21">
        <v>1.4</v>
      </c>
      <c r="W120" s="21">
        <v>1.3</v>
      </c>
      <c r="X120" s="21">
        <v>1.2</v>
      </c>
      <c r="Y120" s="21">
        <v>1.1000000000000001</v>
      </c>
      <c r="Z120" s="21">
        <v>1.05</v>
      </c>
      <c r="AA120" s="21">
        <v>1</v>
      </c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  <c r="BF120" s="19"/>
      <c r="BG120" s="19"/>
      <c r="BH120" s="19"/>
      <c r="BI120" s="19"/>
      <c r="BJ120" s="19"/>
      <c r="BK120" s="19"/>
      <c r="BL120" s="19"/>
      <c r="BM120" s="19"/>
      <c r="BN120" s="19"/>
      <c r="BO120" s="19"/>
      <c r="BP120" s="19"/>
      <c r="BQ120" s="19"/>
      <c r="BR120" s="19"/>
      <c r="BS120" s="19"/>
      <c r="BT120" s="19"/>
      <c r="BU120" s="19"/>
      <c r="BV120" s="19"/>
      <c r="BW120" s="19"/>
      <c r="BX120" s="19"/>
      <c r="BY120" s="19"/>
      <c r="BZ120" s="19"/>
      <c r="CA120" s="19"/>
      <c r="CB120" s="19"/>
      <c r="CC120" s="19"/>
      <c r="CD120" s="19"/>
      <c r="CE120" s="19"/>
      <c r="CF120" s="19"/>
      <c r="CG120" s="19"/>
      <c r="CH120" s="19"/>
      <c r="CI120" s="19"/>
      <c r="CJ120" s="19"/>
      <c r="CK120" s="19"/>
      <c r="CL120" s="19"/>
      <c r="CM120" s="19"/>
      <c r="CN120" s="19"/>
      <c r="CO120" s="19"/>
      <c r="CP120" s="19"/>
      <c r="CQ120" s="19"/>
      <c r="CR120" s="19"/>
      <c r="CS120" s="19"/>
      <c r="CT120" s="19"/>
      <c r="CU120" s="19"/>
      <c r="CV120" s="19"/>
      <c r="CW120" s="19"/>
      <c r="CX120" s="19"/>
      <c r="CY120" s="19"/>
      <c r="CZ120" s="19"/>
      <c r="DA120" s="19"/>
      <c r="DB120" s="19"/>
      <c r="DC120" s="19"/>
      <c r="DD120" s="19"/>
      <c r="DE120" s="19"/>
      <c r="DF120" s="19"/>
      <c r="DG120" s="19"/>
      <c r="DH120" s="19"/>
      <c r="DI120" s="19"/>
      <c r="DJ120" s="19"/>
      <c r="DK120" s="19"/>
      <c r="DL120" s="19"/>
      <c r="DM120" s="19"/>
      <c r="DN120" s="19"/>
      <c r="DO120" s="19"/>
      <c r="DP120" s="19"/>
      <c r="DQ120" s="19"/>
      <c r="DR120" s="19"/>
      <c r="DS120" s="19"/>
      <c r="DT120" s="19"/>
      <c r="DU120" s="19"/>
      <c r="DV120" s="19"/>
      <c r="DW120" s="19"/>
      <c r="DX120" s="19"/>
      <c r="DY120" s="19"/>
      <c r="DZ120" s="19"/>
      <c r="EA120" s="19"/>
      <c r="EB120" s="19"/>
      <c r="EC120" s="19"/>
      <c r="ED120" s="19"/>
      <c r="EE120" s="19"/>
      <c r="EF120" s="19"/>
      <c r="EG120" s="19"/>
      <c r="EH120" s="19"/>
      <c r="EI120" s="19"/>
      <c r="EJ120" s="19"/>
      <c r="EK120" s="19"/>
      <c r="EL120" s="19"/>
      <c r="EM120" s="19"/>
      <c r="EN120" s="19"/>
      <c r="EO120" s="19"/>
      <c r="EP120" s="19"/>
      <c r="EQ120" s="19"/>
      <c r="ER120" s="19"/>
      <c r="ES120" s="19"/>
      <c r="ET120" s="19"/>
      <c r="EU120" s="19"/>
      <c r="EV120" s="19"/>
      <c r="EW120" s="19"/>
      <c r="EX120" s="19"/>
      <c r="EY120" s="19"/>
      <c r="EZ120" s="19"/>
      <c r="FA120" s="19"/>
      <c r="FB120" s="19"/>
      <c r="FC120" s="19"/>
      <c r="FD120" s="19"/>
      <c r="FE120" s="19"/>
      <c r="FF120" s="19"/>
      <c r="FG120" s="19"/>
      <c r="FH120" s="19"/>
      <c r="FI120" s="19"/>
      <c r="FJ120" s="19"/>
      <c r="FK120" s="19"/>
      <c r="FL120" s="19"/>
      <c r="FM120" s="19"/>
      <c r="FN120" s="19"/>
      <c r="FO120" s="19"/>
      <c r="FP120" s="19"/>
      <c r="FQ120" s="19"/>
      <c r="FR120" s="19"/>
      <c r="FS120" s="19"/>
      <c r="FT120" s="19"/>
      <c r="FU120" s="19"/>
      <c r="FV120" s="19"/>
      <c r="FW120" s="19"/>
      <c r="FX120" s="19"/>
      <c r="FY120" s="19"/>
      <c r="FZ120" s="19"/>
      <c r="GA120" s="19"/>
      <c r="GB120" s="19"/>
      <c r="GC120" s="19"/>
      <c r="GD120" s="19"/>
      <c r="GE120" s="19"/>
      <c r="GF120" s="19"/>
      <c r="GG120" s="19"/>
      <c r="GH120" s="19"/>
      <c r="GI120" s="19"/>
      <c r="GJ120" s="19"/>
      <c r="GK120" s="19"/>
      <c r="GL120" s="19"/>
      <c r="GM120" s="19"/>
      <c r="GN120" s="19"/>
      <c r="GO120" s="19"/>
      <c r="GP120" s="19"/>
      <c r="GQ120" s="19"/>
      <c r="GR120" s="19"/>
      <c r="GS120" s="19"/>
      <c r="GT120" s="19"/>
      <c r="GU120" s="19"/>
      <c r="GV120" s="19"/>
      <c r="GW120" s="19"/>
      <c r="GX120" s="19"/>
      <c r="GY120" s="19"/>
      <c r="GZ120" s="19"/>
      <c r="HA120" s="19"/>
      <c r="HB120" s="19"/>
      <c r="HC120" s="19"/>
      <c r="HD120" s="19"/>
      <c r="HE120" s="19"/>
      <c r="HF120" s="19"/>
      <c r="HG120" s="19"/>
      <c r="HH120" s="19"/>
      <c r="HI120" s="19"/>
      <c r="HJ120" s="19"/>
      <c r="HK120" s="19"/>
      <c r="HL120" s="19"/>
      <c r="HM120" s="19"/>
      <c r="HN120" s="19"/>
      <c r="HO120" s="19"/>
      <c r="HP120" s="19"/>
      <c r="HQ120" s="19"/>
      <c r="HR120" s="19"/>
      <c r="HS120" s="19"/>
      <c r="HT120" s="19"/>
      <c r="HU120" s="19"/>
      <c r="HV120" s="19"/>
      <c r="HW120" s="19"/>
      <c r="HX120" s="19"/>
      <c r="HY120" s="19"/>
      <c r="HZ120" s="19"/>
      <c r="IA120" s="19"/>
      <c r="IB120" s="19"/>
      <c r="IC120" s="19"/>
      <c r="ID120" s="19"/>
      <c r="IE120" s="19"/>
      <c r="IF120" s="19"/>
    </row>
    <row r="121" spans="1:240" ht="13.5">
      <c r="B121" s="50" t="s">
        <v>104</v>
      </c>
      <c r="C121" s="51"/>
      <c r="D121" s="53">
        <f>0.149*57</f>
        <v>8.4930000000000003</v>
      </c>
      <c r="E121" s="123" t="s">
        <v>42</v>
      </c>
      <c r="F121" s="72"/>
      <c r="G121" s="72"/>
      <c r="H121" s="72"/>
      <c r="I121" s="36"/>
      <c r="J121" s="36"/>
      <c r="K121" s="72"/>
      <c r="L121" s="72"/>
      <c r="O121" s="114">
        <v>4</v>
      </c>
      <c r="P121" s="114">
        <v>0.1</v>
      </c>
      <c r="Q121" s="114">
        <v>16000</v>
      </c>
      <c r="S121" s="115">
        <v>3</v>
      </c>
      <c r="T121" s="21">
        <v>2.2000000000000002</v>
      </c>
      <c r="U121" s="21">
        <v>1.8</v>
      </c>
      <c r="V121" s="21">
        <v>1.65</v>
      </c>
      <c r="W121" s="21">
        <v>1.5</v>
      </c>
      <c r="X121" s="21">
        <v>1.35</v>
      </c>
      <c r="Y121" s="21">
        <v>1.2</v>
      </c>
      <c r="Z121" s="21">
        <v>1.1000000000000001</v>
      </c>
      <c r="AA121" s="21">
        <v>1</v>
      </c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  <c r="BP121" s="19"/>
      <c r="BQ121" s="19"/>
      <c r="BR121" s="19"/>
      <c r="BS121" s="19"/>
      <c r="BT121" s="19"/>
      <c r="BU121" s="19"/>
      <c r="BV121" s="19"/>
      <c r="BW121" s="19"/>
      <c r="BX121" s="19"/>
      <c r="BY121" s="19"/>
      <c r="BZ121" s="19"/>
      <c r="CA121" s="19"/>
      <c r="CB121" s="19"/>
      <c r="CC121" s="19"/>
      <c r="CD121" s="19"/>
      <c r="CE121" s="19"/>
      <c r="CF121" s="19"/>
      <c r="CG121" s="19"/>
      <c r="CH121" s="19"/>
      <c r="CI121" s="19"/>
      <c r="CJ121" s="19"/>
      <c r="CK121" s="19"/>
      <c r="CL121" s="19"/>
      <c r="CM121" s="19"/>
      <c r="CN121" s="19"/>
      <c r="CO121" s="19"/>
      <c r="CP121" s="19"/>
      <c r="CQ121" s="19"/>
      <c r="CR121" s="19"/>
      <c r="CS121" s="19"/>
      <c r="CT121" s="19"/>
      <c r="CU121" s="19"/>
      <c r="CV121" s="19"/>
      <c r="CW121" s="19"/>
      <c r="CX121" s="19"/>
      <c r="CY121" s="19"/>
      <c r="CZ121" s="19"/>
      <c r="DA121" s="19"/>
      <c r="DB121" s="19"/>
      <c r="DC121" s="19"/>
      <c r="DD121" s="19"/>
      <c r="DE121" s="19"/>
      <c r="DF121" s="19"/>
      <c r="DG121" s="19"/>
      <c r="DH121" s="19"/>
      <c r="DI121" s="19"/>
      <c r="DJ121" s="19"/>
      <c r="DK121" s="19"/>
      <c r="DL121" s="19"/>
      <c r="DM121" s="19"/>
      <c r="DN121" s="19"/>
      <c r="DO121" s="19"/>
      <c r="DP121" s="19"/>
      <c r="DQ121" s="19"/>
      <c r="DR121" s="19"/>
      <c r="DS121" s="19"/>
      <c r="DT121" s="19"/>
      <c r="DU121" s="19"/>
      <c r="DV121" s="19"/>
      <c r="DW121" s="19"/>
      <c r="DX121" s="19"/>
      <c r="DY121" s="19"/>
      <c r="DZ121" s="19"/>
      <c r="EA121" s="19"/>
      <c r="EB121" s="19"/>
      <c r="EC121" s="19"/>
      <c r="ED121" s="19"/>
      <c r="EE121" s="19"/>
      <c r="EF121" s="19"/>
      <c r="EG121" s="19"/>
      <c r="EH121" s="19"/>
      <c r="EI121" s="19"/>
      <c r="EJ121" s="19"/>
      <c r="EK121" s="19"/>
      <c r="EL121" s="19"/>
      <c r="EM121" s="19"/>
      <c r="EN121" s="19"/>
      <c r="EO121" s="19"/>
      <c r="EP121" s="19"/>
      <c r="EQ121" s="19"/>
      <c r="ER121" s="19"/>
      <c r="ES121" s="19"/>
      <c r="ET121" s="19"/>
      <c r="EU121" s="19"/>
      <c r="EV121" s="19"/>
      <c r="EW121" s="19"/>
      <c r="EX121" s="19"/>
      <c r="EY121" s="19"/>
      <c r="EZ121" s="19"/>
      <c r="FA121" s="19"/>
      <c r="FB121" s="19"/>
      <c r="FC121" s="19"/>
      <c r="FD121" s="19"/>
      <c r="FE121" s="19"/>
      <c r="FF121" s="19"/>
      <c r="FG121" s="19"/>
      <c r="FH121" s="19"/>
      <c r="FI121" s="19"/>
      <c r="FJ121" s="19"/>
      <c r="FK121" s="19"/>
      <c r="FL121" s="19"/>
      <c r="FM121" s="19"/>
      <c r="FN121" s="19"/>
      <c r="FO121" s="19"/>
      <c r="FP121" s="19"/>
      <c r="FQ121" s="19"/>
      <c r="FR121" s="19"/>
      <c r="FS121" s="19"/>
      <c r="FT121" s="19"/>
      <c r="FU121" s="19"/>
      <c r="FV121" s="19"/>
      <c r="FW121" s="19"/>
      <c r="FX121" s="19"/>
      <c r="FY121" s="19"/>
      <c r="FZ121" s="19"/>
      <c r="GA121" s="19"/>
      <c r="GB121" s="19"/>
      <c r="GC121" s="19"/>
      <c r="GD121" s="19"/>
      <c r="GE121" s="19"/>
      <c r="GF121" s="19"/>
      <c r="GG121" s="19"/>
      <c r="GH121" s="19"/>
      <c r="GI121" s="19"/>
      <c r="GJ121" s="19"/>
      <c r="GK121" s="19"/>
      <c r="GL121" s="19"/>
      <c r="GM121" s="19"/>
      <c r="GN121" s="19"/>
      <c r="GO121" s="19"/>
      <c r="GP121" s="19"/>
      <c r="GQ121" s="19"/>
      <c r="GR121" s="19"/>
      <c r="GS121" s="19"/>
      <c r="GT121" s="19"/>
      <c r="GU121" s="19"/>
      <c r="GV121" s="19"/>
      <c r="GW121" s="19"/>
      <c r="GX121" s="19"/>
      <c r="GY121" s="19"/>
      <c r="GZ121" s="19"/>
      <c r="HA121" s="19"/>
      <c r="HB121" s="19"/>
      <c r="HC121" s="19"/>
      <c r="HD121" s="19"/>
      <c r="HE121" s="19"/>
      <c r="HF121" s="19"/>
      <c r="HG121" s="19"/>
      <c r="HH121" s="19"/>
      <c r="HI121" s="19"/>
      <c r="HJ121" s="19"/>
      <c r="HK121" s="19"/>
      <c r="HL121" s="19"/>
      <c r="HM121" s="19"/>
      <c r="HN121" s="19"/>
      <c r="HO121" s="19"/>
      <c r="HP121" s="19"/>
      <c r="HQ121" s="19"/>
      <c r="HR121" s="19"/>
      <c r="HS121" s="19"/>
      <c r="HT121" s="19"/>
      <c r="HU121" s="19"/>
      <c r="HV121" s="19"/>
      <c r="HW121" s="19"/>
      <c r="HX121" s="19"/>
      <c r="HY121" s="19"/>
      <c r="HZ121" s="19"/>
      <c r="IA121" s="19"/>
      <c r="IB121" s="19"/>
      <c r="IC121" s="19"/>
      <c r="ID121" s="19"/>
      <c r="IE121" s="19"/>
      <c r="IF121" s="19"/>
    </row>
    <row r="122" spans="1:240" ht="13.5">
      <c r="B122" s="50" t="s">
        <v>105</v>
      </c>
      <c r="C122" s="51"/>
      <c r="D122" s="54">
        <f>D121/14.21*100</f>
        <v>59.767769176636165</v>
      </c>
      <c r="E122" s="123" t="s">
        <v>43</v>
      </c>
      <c r="F122" s="123"/>
      <c r="G122" s="123"/>
      <c r="H122" s="123"/>
      <c r="I122" s="60"/>
      <c r="J122" s="60"/>
      <c r="K122" s="123"/>
      <c r="L122" s="72"/>
      <c r="S122" s="115">
        <v>5</v>
      </c>
      <c r="T122" s="21">
        <v>3</v>
      </c>
      <c r="U122" s="21">
        <v>2.2000000000000002</v>
      </c>
      <c r="V122" s="21">
        <v>1.9</v>
      </c>
      <c r="W122" s="21">
        <v>1.7</v>
      </c>
      <c r="X122" s="21">
        <v>1.5</v>
      </c>
      <c r="Y122" s="21">
        <v>1.3</v>
      </c>
      <c r="Z122" s="21">
        <v>1.1499999999999999</v>
      </c>
      <c r="AA122" s="21">
        <v>1</v>
      </c>
    </row>
    <row r="123" spans="1:240" ht="13.5">
      <c r="B123" s="50" t="s">
        <v>104</v>
      </c>
      <c r="C123" s="51"/>
      <c r="D123" s="53">
        <f>0.149*28</f>
        <v>4.1719999999999997</v>
      </c>
      <c r="E123" s="123" t="s">
        <v>132</v>
      </c>
      <c r="F123" s="123"/>
      <c r="G123" s="123"/>
      <c r="H123" s="123"/>
      <c r="I123" s="60"/>
      <c r="J123" s="60"/>
      <c r="K123" s="123"/>
      <c r="L123" s="72"/>
    </row>
    <row r="124" spans="1:240" ht="13.5">
      <c r="B124" s="50" t="s">
        <v>105</v>
      </c>
      <c r="C124" s="51"/>
      <c r="D124" s="54">
        <f>D123/14.21*100</f>
        <v>29.359605911330043</v>
      </c>
      <c r="E124" s="123" t="s">
        <v>44</v>
      </c>
      <c r="F124" s="123"/>
      <c r="G124" s="123"/>
      <c r="H124" s="123"/>
      <c r="I124" s="60"/>
      <c r="J124" s="60"/>
      <c r="K124" s="123"/>
      <c r="L124" s="72"/>
    </row>
    <row r="125" spans="1:240" ht="13.5">
      <c r="B125" s="50" t="s">
        <v>213</v>
      </c>
      <c r="C125" s="49"/>
      <c r="D125" s="55">
        <v>14937</v>
      </c>
      <c r="E125" s="123" t="s">
        <v>234</v>
      </c>
      <c r="F125" s="123"/>
      <c r="G125" s="123"/>
      <c r="H125" s="123"/>
      <c r="I125" s="60"/>
      <c r="J125" s="60"/>
      <c r="K125" s="123"/>
      <c r="L125" s="72"/>
    </row>
    <row r="126" spans="1:240" s="56" customFormat="1">
      <c r="D126" s="57"/>
      <c r="E126" s="58"/>
      <c r="F126" s="59"/>
      <c r="G126" s="59"/>
      <c r="H126" s="60"/>
      <c r="I126" s="60"/>
      <c r="J126" s="60"/>
      <c r="S126" s="17"/>
      <c r="W126" s="17"/>
      <c r="X126" s="17"/>
    </row>
    <row r="127" spans="1:240" s="31" customFormat="1" ht="25.5">
      <c r="B127" s="136" t="str">
        <f>B$41</f>
        <v>Pozo de</v>
      </c>
      <c r="C127" s="136" t="str">
        <f>C$41</f>
        <v>Pozo a</v>
      </c>
      <c r="D127" s="136" t="s">
        <v>130</v>
      </c>
      <c r="E127" s="136" t="s">
        <v>208</v>
      </c>
      <c r="F127" s="136" t="str">
        <f>I41</f>
        <v>Ancho zanja
Bd (m)</v>
      </c>
      <c r="G127" s="142" t="s">
        <v>212</v>
      </c>
      <c r="H127" s="143" t="s">
        <v>46</v>
      </c>
      <c r="I127" s="136" t="s">
        <v>226</v>
      </c>
      <c r="J127" s="122" t="s">
        <v>47</v>
      </c>
      <c r="K127" s="136" t="s">
        <v>227</v>
      </c>
      <c r="L127" s="144" t="s">
        <v>228</v>
      </c>
      <c r="N127" s="17" t="s">
        <v>50</v>
      </c>
      <c r="O127" s="17" t="s">
        <v>51</v>
      </c>
      <c r="P127" s="61"/>
      <c r="Q127" s="61"/>
      <c r="R127" s="61"/>
      <c r="S127" s="61"/>
      <c r="T127" s="61"/>
      <c r="U127" s="61"/>
      <c r="V127" s="17"/>
      <c r="W127" s="17"/>
      <c r="X127" s="61"/>
      <c r="Y127" s="61"/>
    </row>
    <row r="128" spans="1:240" s="74" customFormat="1">
      <c r="B128" s="140" t="str">
        <f t="shared" ref="B128:D134" si="20">+B78</f>
        <v>PZ6</v>
      </c>
      <c r="C128" s="140" t="str">
        <f t="shared" si="20"/>
        <v>PZ4</v>
      </c>
      <c r="D128" s="135">
        <f t="shared" si="20"/>
        <v>38.74</v>
      </c>
      <c r="E128" s="135">
        <f t="shared" ref="E128:E134" si="21">+F78</f>
        <v>0.73</v>
      </c>
      <c r="F128" s="135">
        <f t="shared" ref="F128:F134" si="22">+H78</f>
        <v>1.325</v>
      </c>
      <c r="G128" s="135">
        <f t="shared" ref="G128:G134" si="23">K42+L78</f>
        <v>39.027063907793085</v>
      </c>
      <c r="H128" s="132">
        <v>0.1</v>
      </c>
      <c r="I128" s="156">
        <v>11000</v>
      </c>
      <c r="J128" s="52">
        <v>1.1100000000000001</v>
      </c>
      <c r="K128" s="140">
        <f>I128*J128</f>
        <v>12210.000000000002</v>
      </c>
      <c r="L128" s="135">
        <f>(($D$120*H128*G128)/(IF(E128&lt;=0.5,$D$122,$D$124)+(0.061*K128)))*100</f>
        <v>0.75617274838344162</v>
      </c>
      <c r="M128" s="81"/>
      <c r="N128" s="81">
        <f>$D$125/I128</f>
        <v>1.357909090909091</v>
      </c>
      <c r="O128" s="81">
        <f>F128/E128</f>
        <v>1.8150684931506849</v>
      </c>
      <c r="P128" s="82"/>
      <c r="Q128" s="82"/>
      <c r="R128" s="83"/>
      <c r="S128" s="82"/>
      <c r="T128" s="83"/>
      <c r="U128" s="83"/>
      <c r="V128" s="83"/>
      <c r="W128" s="83"/>
      <c r="X128" s="84"/>
      <c r="Y128" s="84"/>
    </row>
    <row r="129" spans="1:33" s="74" customFormat="1">
      <c r="B129" s="140" t="str">
        <f t="shared" si="20"/>
        <v>PZ4</v>
      </c>
      <c r="C129" s="140" t="str">
        <f t="shared" si="20"/>
        <v>PZ11-6</v>
      </c>
      <c r="D129" s="135">
        <f t="shared" si="20"/>
        <v>54.97</v>
      </c>
      <c r="E129" s="135">
        <f t="shared" si="21"/>
        <v>0.73</v>
      </c>
      <c r="F129" s="135">
        <f t="shared" si="22"/>
        <v>1.325</v>
      </c>
      <c r="G129" s="135">
        <f t="shared" si="23"/>
        <v>38.208761011714948</v>
      </c>
      <c r="H129" s="132">
        <v>0.1</v>
      </c>
      <c r="I129" s="156">
        <v>11000</v>
      </c>
      <c r="J129" s="52">
        <v>1.1100000000000001</v>
      </c>
      <c r="K129" s="140">
        <f t="shared" ref="K129:K134" si="24">I129*J129</f>
        <v>12210.000000000002</v>
      </c>
      <c r="L129" s="135">
        <f>(($D$120*H129*G129)/(IF(E129&lt;=0.5,$D$122,$D$124)+(0.061*K129)))*100</f>
        <v>0.74031763944161899</v>
      </c>
      <c r="M129" s="81"/>
      <c r="N129" s="81">
        <f t="shared" ref="N129:N134" si="25">$D$125/I129</f>
        <v>1.357909090909091</v>
      </c>
      <c r="O129" s="81">
        <f t="shared" ref="O129:O134" si="26">F129/E129</f>
        <v>1.8150684931506849</v>
      </c>
      <c r="P129" s="82"/>
      <c r="Q129" s="82"/>
      <c r="R129" s="83"/>
      <c r="S129" s="82"/>
      <c r="T129" s="83"/>
      <c r="U129" s="83"/>
      <c r="V129" s="83"/>
      <c r="W129" s="83"/>
      <c r="X129" s="84"/>
      <c r="Y129" s="84"/>
    </row>
    <row r="130" spans="1:33" s="74" customFormat="1">
      <c r="B130" s="140" t="str">
        <f t="shared" si="20"/>
        <v>PZ11-6</v>
      </c>
      <c r="C130" s="140" t="str">
        <f t="shared" si="20"/>
        <v>PZ7</v>
      </c>
      <c r="D130" s="135">
        <f t="shared" si="20"/>
        <v>7.6</v>
      </c>
      <c r="E130" s="135">
        <f t="shared" si="21"/>
        <v>0.73</v>
      </c>
      <c r="F130" s="135">
        <f t="shared" si="22"/>
        <v>1.325</v>
      </c>
      <c r="G130" s="135">
        <f t="shared" si="23"/>
        <v>37.276519209218137</v>
      </c>
      <c r="H130" s="132">
        <v>0.1</v>
      </c>
      <c r="I130" s="156">
        <v>11000</v>
      </c>
      <c r="J130" s="52">
        <v>1.1100000000000001</v>
      </c>
      <c r="K130" s="140">
        <f t="shared" si="24"/>
        <v>12210.000000000002</v>
      </c>
      <c r="L130" s="135">
        <f t="shared" ref="L130:L134" si="27">(($D$120*H130*G130)/(IF(E130&lt;=0.5,$D$122,$D$124)+(0.061*K130)))*100</f>
        <v>0.72225489591529435</v>
      </c>
      <c r="M130" s="81"/>
      <c r="N130" s="81">
        <f t="shared" si="25"/>
        <v>1.357909090909091</v>
      </c>
      <c r="O130" s="81">
        <f t="shared" si="26"/>
        <v>1.8150684931506849</v>
      </c>
      <c r="P130" s="82"/>
      <c r="Q130" s="82"/>
      <c r="R130" s="83"/>
      <c r="S130" s="82"/>
      <c r="T130" s="83"/>
      <c r="U130" s="83"/>
      <c r="V130" s="83"/>
      <c r="W130" s="83"/>
      <c r="X130" s="84"/>
      <c r="Y130" s="84"/>
    </row>
    <row r="131" spans="1:33" s="74" customFormat="1">
      <c r="B131" s="140" t="str">
        <f t="shared" si="20"/>
        <v>PZ7</v>
      </c>
      <c r="C131" s="140">
        <f t="shared" si="20"/>
        <v>117577</v>
      </c>
      <c r="D131" s="135">
        <f t="shared" si="20"/>
        <v>29.84</v>
      </c>
      <c r="E131" s="135">
        <f t="shared" si="21"/>
        <v>0.73</v>
      </c>
      <c r="F131" s="135">
        <f t="shared" si="22"/>
        <v>1.325</v>
      </c>
      <c r="G131" s="135">
        <f t="shared" si="23"/>
        <v>37.976156066469223</v>
      </c>
      <c r="H131" s="132">
        <v>0.1</v>
      </c>
      <c r="I131" s="156">
        <v>11000</v>
      </c>
      <c r="J131" s="52">
        <v>1.1100000000000001</v>
      </c>
      <c r="K131" s="140">
        <f t="shared" si="24"/>
        <v>12210.000000000002</v>
      </c>
      <c r="L131" s="135">
        <f t="shared" si="27"/>
        <v>0.7358107792496863</v>
      </c>
      <c r="M131" s="81"/>
      <c r="N131" s="81">
        <f t="shared" si="25"/>
        <v>1.357909090909091</v>
      </c>
      <c r="O131" s="81">
        <f t="shared" si="26"/>
        <v>1.8150684931506849</v>
      </c>
      <c r="P131" s="82"/>
      <c r="Q131" s="82"/>
      <c r="R131" s="83"/>
      <c r="S131" s="82"/>
      <c r="T131" s="83"/>
      <c r="U131" s="83"/>
      <c r="V131" s="83"/>
      <c r="W131" s="83"/>
      <c r="X131" s="84"/>
      <c r="Y131" s="84"/>
    </row>
    <row r="132" spans="1:33" s="74" customFormat="1">
      <c r="B132" s="140" t="str">
        <f t="shared" si="20"/>
        <v>PZ8</v>
      </c>
      <c r="C132" s="140" t="str">
        <f t="shared" si="20"/>
        <v>PZ7</v>
      </c>
      <c r="D132" s="135">
        <f t="shared" si="20"/>
        <v>6.02</v>
      </c>
      <c r="E132" s="135">
        <f t="shared" si="21"/>
        <v>0.27</v>
      </c>
      <c r="F132" s="135">
        <f t="shared" si="22"/>
        <v>1</v>
      </c>
      <c r="G132" s="135">
        <f t="shared" si="23"/>
        <v>31.770327217703802</v>
      </c>
      <c r="H132" s="132">
        <v>0.1</v>
      </c>
      <c r="I132" s="156">
        <v>11000</v>
      </c>
      <c r="J132" s="52">
        <v>1.0047999999999999</v>
      </c>
      <c r="K132" s="140">
        <f t="shared" si="24"/>
        <v>11052.8</v>
      </c>
      <c r="L132" s="135">
        <f t="shared" si="27"/>
        <v>0.64926747946516461</v>
      </c>
      <c r="M132" s="81"/>
      <c r="N132" s="81">
        <f t="shared" si="25"/>
        <v>1.357909090909091</v>
      </c>
      <c r="O132" s="81">
        <f t="shared" si="26"/>
        <v>3.7037037037037033</v>
      </c>
      <c r="P132" s="82"/>
      <c r="Q132" s="82"/>
      <c r="R132" s="83"/>
      <c r="S132" s="82"/>
      <c r="T132" s="83"/>
      <c r="U132" s="83"/>
      <c r="V132" s="83"/>
      <c r="W132" s="83"/>
      <c r="X132" s="84"/>
      <c r="Y132" s="84"/>
    </row>
    <row r="133" spans="1:33" s="74" customFormat="1">
      <c r="B133" s="140" t="str">
        <f t="shared" si="20"/>
        <v>PZ9</v>
      </c>
      <c r="C133" s="140" t="str">
        <f t="shared" si="20"/>
        <v>PZ10</v>
      </c>
      <c r="D133" s="135">
        <f t="shared" si="20"/>
        <v>21.39</v>
      </c>
      <c r="E133" s="135">
        <f t="shared" si="21"/>
        <v>0.27</v>
      </c>
      <c r="F133" s="135">
        <f t="shared" si="22"/>
        <v>1</v>
      </c>
      <c r="G133" s="135">
        <f t="shared" si="23"/>
        <v>36.117542596592273</v>
      </c>
      <c r="H133" s="132">
        <v>0.1</v>
      </c>
      <c r="I133" s="156">
        <v>11000</v>
      </c>
      <c r="J133" s="52">
        <v>1.0047999999999999</v>
      </c>
      <c r="K133" s="140">
        <f t="shared" si="24"/>
        <v>11052.8</v>
      </c>
      <c r="L133" s="135">
        <f t="shared" si="27"/>
        <v>0.73810841435394015</v>
      </c>
      <c r="M133" s="81"/>
      <c r="N133" s="81">
        <f t="shared" si="25"/>
        <v>1.357909090909091</v>
      </c>
      <c r="O133" s="81">
        <f t="shared" si="26"/>
        <v>3.7037037037037033</v>
      </c>
      <c r="P133" s="82"/>
      <c r="Q133" s="82"/>
      <c r="R133" s="83"/>
      <c r="S133" s="82"/>
      <c r="T133" s="83"/>
      <c r="U133" s="83"/>
      <c r="V133" s="83"/>
      <c r="W133" s="83"/>
      <c r="X133" s="84"/>
      <c r="Y133" s="84"/>
    </row>
    <row r="134" spans="1:33" s="74" customFormat="1">
      <c r="B134" s="140" t="str">
        <f t="shared" si="20"/>
        <v>PZ10</v>
      </c>
      <c r="C134" s="140">
        <f t="shared" si="20"/>
        <v>117576</v>
      </c>
      <c r="D134" s="135">
        <f t="shared" si="20"/>
        <v>8.1999999999999993</v>
      </c>
      <c r="E134" s="135">
        <f t="shared" si="21"/>
        <v>0.27</v>
      </c>
      <c r="F134" s="135">
        <f t="shared" si="22"/>
        <v>1</v>
      </c>
      <c r="G134" s="135">
        <f t="shared" si="23"/>
        <v>41.083308464111134</v>
      </c>
      <c r="H134" s="132">
        <v>0.1</v>
      </c>
      <c r="I134" s="156">
        <v>11000</v>
      </c>
      <c r="J134" s="52">
        <v>1.0047999999999999</v>
      </c>
      <c r="K134" s="140">
        <f t="shared" si="24"/>
        <v>11052.8</v>
      </c>
      <c r="L134" s="135">
        <f t="shared" si="27"/>
        <v>0.83959022366377634</v>
      </c>
      <c r="M134" s="81"/>
      <c r="N134" s="81">
        <f t="shared" si="25"/>
        <v>1.357909090909091</v>
      </c>
      <c r="O134" s="81">
        <f t="shared" si="26"/>
        <v>3.7037037037037033</v>
      </c>
      <c r="P134" s="82"/>
      <c r="Q134" s="82"/>
      <c r="R134" s="83"/>
      <c r="S134" s="82"/>
      <c r="T134" s="83"/>
      <c r="U134" s="83"/>
      <c r="V134" s="83"/>
      <c r="W134" s="83"/>
      <c r="X134" s="84"/>
      <c r="Y134" s="84"/>
    </row>
    <row r="135" spans="1:33" s="74" customFormat="1">
      <c r="B135" s="280" t="str">
        <f t="shared" ref="B135" si="28">+B85</f>
        <v>SUMIDEROS</v>
      </c>
      <c r="C135" s="281"/>
      <c r="D135" s="281"/>
      <c r="E135" s="281"/>
      <c r="F135" s="281"/>
      <c r="G135" s="281"/>
      <c r="H135" s="281"/>
      <c r="I135" s="281"/>
      <c r="J135" s="281"/>
      <c r="K135" s="281"/>
      <c r="L135" s="282"/>
      <c r="M135" s="81"/>
      <c r="N135" s="81"/>
      <c r="O135" s="81"/>
      <c r="P135" s="82"/>
      <c r="Q135" s="82"/>
      <c r="R135" s="83"/>
      <c r="S135" s="82"/>
      <c r="T135" s="83"/>
      <c r="U135" s="83"/>
      <c r="V135" s="83"/>
      <c r="W135" s="83"/>
      <c r="X135" s="84"/>
      <c r="Y135" s="84"/>
    </row>
    <row r="136" spans="1:33" s="74" customFormat="1">
      <c r="B136" s="140" t="str">
        <f t="shared" ref="B136:D136" si="29">+B86</f>
        <v>S1</v>
      </c>
      <c r="C136" s="140" t="str">
        <f t="shared" si="29"/>
        <v>PZ4</v>
      </c>
      <c r="D136" s="135">
        <f t="shared" si="29"/>
        <v>6.2</v>
      </c>
      <c r="E136" s="135">
        <f t="shared" ref="E136:E140" si="30">+F86</f>
        <v>0.2732</v>
      </c>
      <c r="F136" s="135">
        <f t="shared" ref="F136:F140" si="31">+H86</f>
        <v>1</v>
      </c>
      <c r="G136" s="135">
        <f>K50+L86</f>
        <v>33.921419352907272</v>
      </c>
      <c r="H136" s="132">
        <v>0.1</v>
      </c>
      <c r="I136" s="156">
        <v>11000</v>
      </c>
      <c r="J136" s="52">
        <v>1.0054000000000001</v>
      </c>
      <c r="K136" s="140">
        <f t="shared" ref="K136:K140" si="32">I136*J136</f>
        <v>11059.400000000001</v>
      </c>
      <c r="L136" s="135">
        <f>(($D$120*H136*G136)/(IF(E136&lt;=0.5,$D$122,$D$124)+(0.061*K136)))*100</f>
        <v>0.69284777874450054</v>
      </c>
      <c r="M136" s="81"/>
      <c r="N136" s="81">
        <f>$D$125/I136</f>
        <v>1.357909090909091</v>
      </c>
      <c r="O136" s="81">
        <f t="shared" ref="O136:O140" si="33">F136/E136</f>
        <v>3.6603221083455346</v>
      </c>
      <c r="P136" s="82"/>
      <c r="Q136" s="82"/>
      <c r="R136" s="83"/>
      <c r="S136" s="82"/>
      <c r="T136" s="83"/>
      <c r="U136" s="83"/>
      <c r="V136" s="83"/>
      <c r="W136" s="83"/>
      <c r="X136" s="84"/>
      <c r="Y136" s="84"/>
    </row>
    <row r="137" spans="1:33" s="74" customFormat="1">
      <c r="B137" s="140" t="str">
        <f t="shared" ref="B137:D137" si="34">+B87</f>
        <v>S2</v>
      </c>
      <c r="C137" s="140">
        <f t="shared" si="34"/>
        <v>117578</v>
      </c>
      <c r="D137" s="135">
        <f t="shared" si="34"/>
        <v>7.5</v>
      </c>
      <c r="E137" s="135">
        <f t="shared" si="30"/>
        <v>0.2732</v>
      </c>
      <c r="F137" s="135">
        <f t="shared" si="31"/>
        <v>1</v>
      </c>
      <c r="G137" s="135">
        <f>K51+L87</f>
        <v>33.703098432375917</v>
      </c>
      <c r="H137" s="132">
        <v>0.1</v>
      </c>
      <c r="I137" s="156">
        <v>11000</v>
      </c>
      <c r="J137" s="52">
        <v>1.0054000000000001</v>
      </c>
      <c r="K137" s="140">
        <f t="shared" si="32"/>
        <v>11059.400000000001</v>
      </c>
      <c r="L137" s="135">
        <f>(($D$120*H137*G137)/(IF(E137&lt;=0.5,$D$122,$D$124)+(0.061*K137)))*100</f>
        <v>0.68838855599589122</v>
      </c>
      <c r="M137" s="81"/>
      <c r="N137" s="81">
        <f>$D$125/I137</f>
        <v>1.357909090909091</v>
      </c>
      <c r="O137" s="81">
        <f t="shared" si="33"/>
        <v>3.6603221083455346</v>
      </c>
      <c r="P137" s="82"/>
      <c r="Q137" s="82"/>
      <c r="R137" s="83"/>
      <c r="S137" s="82"/>
      <c r="T137" s="83"/>
      <c r="U137" s="83"/>
      <c r="V137" s="83"/>
      <c r="W137" s="83"/>
      <c r="X137" s="84"/>
      <c r="Y137" s="84"/>
    </row>
    <row r="138" spans="1:33" s="74" customFormat="1">
      <c r="B138" s="140" t="str">
        <f t="shared" ref="B138:D138" si="35">+B88</f>
        <v>S3</v>
      </c>
      <c r="C138" s="140" t="str">
        <f t="shared" si="35"/>
        <v>PZ9</v>
      </c>
      <c r="D138" s="135">
        <f t="shared" si="35"/>
        <v>4</v>
      </c>
      <c r="E138" s="135">
        <f t="shared" si="30"/>
        <v>0.2732</v>
      </c>
      <c r="F138" s="135">
        <f t="shared" si="31"/>
        <v>1</v>
      </c>
      <c r="G138" s="135">
        <f>K52+L88</f>
        <v>35.138974713620094</v>
      </c>
      <c r="H138" s="132">
        <v>0.1</v>
      </c>
      <c r="I138" s="156">
        <v>11000</v>
      </c>
      <c r="J138" s="52">
        <v>1.0054000000000001</v>
      </c>
      <c r="K138" s="140">
        <f t="shared" si="32"/>
        <v>11059.400000000001</v>
      </c>
      <c r="L138" s="135">
        <f>(($D$120*H138*G138)/(IF(E138&lt;=0.5,$D$122,$D$124)+(0.061*K138)))*100</f>
        <v>0.71771644707444282</v>
      </c>
      <c r="M138" s="81"/>
      <c r="N138" s="81">
        <f>$D$125/I138</f>
        <v>1.357909090909091</v>
      </c>
      <c r="O138" s="81">
        <f t="shared" si="33"/>
        <v>3.6603221083455346</v>
      </c>
      <c r="P138" s="82"/>
      <c r="Q138" s="82"/>
      <c r="R138" s="83"/>
      <c r="S138" s="82"/>
      <c r="T138" s="83"/>
      <c r="U138" s="83"/>
      <c r="V138" s="83"/>
      <c r="W138" s="83"/>
      <c r="X138" s="84"/>
      <c r="Y138" s="84"/>
    </row>
    <row r="139" spans="1:33" s="74" customFormat="1">
      <c r="B139" s="140" t="str">
        <f t="shared" ref="B139:D139" si="36">+B89</f>
        <v>S4</v>
      </c>
      <c r="C139" s="140" t="str">
        <f t="shared" si="36"/>
        <v>PZ9</v>
      </c>
      <c r="D139" s="135">
        <f t="shared" si="36"/>
        <v>5.9</v>
      </c>
      <c r="E139" s="135">
        <f t="shared" si="30"/>
        <v>0.2732</v>
      </c>
      <c r="F139" s="135">
        <f t="shared" si="31"/>
        <v>1</v>
      </c>
      <c r="G139" s="135">
        <f>K53+L89</f>
        <v>35.138974713620094</v>
      </c>
      <c r="H139" s="132">
        <v>0.1</v>
      </c>
      <c r="I139" s="156">
        <v>11000</v>
      </c>
      <c r="J139" s="52">
        <v>1.0054000000000001</v>
      </c>
      <c r="K139" s="140">
        <f t="shared" si="32"/>
        <v>11059.400000000001</v>
      </c>
      <c r="L139" s="135">
        <f>(($D$120*H139*G139)/(IF(E139&lt;=0.5,$D$122,$D$124)+(0.061*K139)))*100</f>
        <v>0.71771644707444282</v>
      </c>
      <c r="M139" s="81"/>
      <c r="N139" s="81">
        <f>$D$125/I139</f>
        <v>1.357909090909091</v>
      </c>
      <c r="O139" s="81">
        <f t="shared" si="33"/>
        <v>3.6603221083455346</v>
      </c>
      <c r="P139" s="82"/>
      <c r="Q139" s="82"/>
      <c r="R139" s="83"/>
      <c r="S139" s="82"/>
      <c r="T139" s="83"/>
      <c r="U139" s="83"/>
      <c r="V139" s="83"/>
      <c r="W139" s="83"/>
      <c r="X139" s="84"/>
      <c r="Y139" s="84"/>
    </row>
    <row r="140" spans="1:33" s="74" customFormat="1">
      <c r="B140" s="140" t="str">
        <f t="shared" ref="B140:D140" si="37">+B90</f>
        <v>S5</v>
      </c>
      <c r="C140" s="140" t="str">
        <f t="shared" si="37"/>
        <v>PZ10</v>
      </c>
      <c r="D140" s="135">
        <f t="shared" si="37"/>
        <v>5.6</v>
      </c>
      <c r="E140" s="135">
        <f t="shared" si="30"/>
        <v>0.2732</v>
      </c>
      <c r="F140" s="135">
        <f t="shared" si="31"/>
        <v>1</v>
      </c>
      <c r="G140" s="135">
        <f>K54+L90</f>
        <v>33.703098432375917</v>
      </c>
      <c r="H140" s="132">
        <v>0.1</v>
      </c>
      <c r="I140" s="156">
        <v>11000</v>
      </c>
      <c r="J140" s="52">
        <v>1.0054000000000001</v>
      </c>
      <c r="K140" s="140">
        <f t="shared" si="32"/>
        <v>11059.400000000001</v>
      </c>
      <c r="L140" s="135">
        <f>(($D$120*H140*G140)/(IF(E140&lt;=0.5,$D$122,$D$124)+(0.061*K140)))*100</f>
        <v>0.68838855599589122</v>
      </c>
      <c r="M140" s="81"/>
      <c r="N140" s="81">
        <f>$D$125/I140</f>
        <v>1.357909090909091</v>
      </c>
      <c r="O140" s="81">
        <f t="shared" si="33"/>
        <v>3.6603221083455346</v>
      </c>
      <c r="P140" s="82"/>
      <c r="Q140" s="82"/>
      <c r="R140" s="83"/>
      <c r="S140" s="82"/>
      <c r="T140" s="83"/>
      <c r="U140" s="83"/>
      <c r="V140" s="83"/>
      <c r="W140" s="83"/>
      <c r="X140" s="84"/>
      <c r="Y140" s="84"/>
    </row>
    <row r="141" spans="1:33" s="74" customFormat="1" ht="11.25">
      <c r="V141" s="83"/>
      <c r="W141" s="83"/>
      <c r="Y141" s="84"/>
    </row>
    <row r="142" spans="1:33" ht="37.5" customHeight="1">
      <c r="A142" s="288" t="s">
        <v>106</v>
      </c>
      <c r="B142" s="288"/>
      <c r="C142" s="288"/>
      <c r="D142" s="288"/>
      <c r="E142" s="288"/>
      <c r="F142" s="288"/>
      <c r="G142" s="288"/>
      <c r="H142" s="288"/>
      <c r="I142" s="288"/>
      <c r="J142" s="288"/>
      <c r="K142" s="288"/>
      <c r="L142" s="288"/>
      <c r="M142" s="288"/>
      <c r="V142" s="83"/>
      <c r="W142" s="83"/>
    </row>
    <row r="143" spans="1:33">
      <c r="V143" s="83"/>
      <c r="W143" s="83"/>
    </row>
    <row r="144" spans="1:33">
      <c r="A144" s="19" t="s">
        <v>60</v>
      </c>
      <c r="N144" s="301" t="s">
        <v>347</v>
      </c>
      <c r="O144" s="301"/>
      <c r="P144" s="301"/>
      <c r="Q144" s="301"/>
      <c r="R144" s="301"/>
      <c r="S144" s="301"/>
      <c r="U144" s="301" t="s">
        <v>350</v>
      </c>
      <c r="V144" s="301"/>
      <c r="W144" s="301"/>
      <c r="X144" s="301"/>
      <c r="Y144" s="301"/>
      <c r="Z144" s="301"/>
      <c r="AB144" s="301" t="s">
        <v>351</v>
      </c>
      <c r="AC144" s="301"/>
      <c r="AD144" s="301"/>
      <c r="AE144" s="301"/>
      <c r="AF144" s="301"/>
      <c r="AG144" s="301"/>
    </row>
    <row r="145" spans="1:33">
      <c r="N145" s="198" t="s">
        <v>50</v>
      </c>
      <c r="O145" s="198" t="s">
        <v>47</v>
      </c>
      <c r="P145" s="235" t="s">
        <v>50</v>
      </c>
      <c r="Q145" s="235" t="s">
        <v>47</v>
      </c>
      <c r="R145" s="235" t="s">
        <v>51</v>
      </c>
      <c r="S145" s="235" t="s">
        <v>47</v>
      </c>
      <c r="U145" s="198" t="s">
        <v>50</v>
      </c>
      <c r="V145" s="198" t="s">
        <v>47</v>
      </c>
      <c r="W145" s="235" t="s">
        <v>50</v>
      </c>
      <c r="X145" s="235" t="s">
        <v>47</v>
      </c>
      <c r="Y145" s="235" t="s">
        <v>51</v>
      </c>
      <c r="Z145" s="235" t="s">
        <v>47</v>
      </c>
      <c r="AB145" s="198" t="s">
        <v>50</v>
      </c>
      <c r="AC145" s="198" t="s">
        <v>47</v>
      </c>
      <c r="AD145" s="235" t="s">
        <v>50</v>
      </c>
      <c r="AE145" s="235" t="s">
        <v>47</v>
      </c>
      <c r="AF145" s="235" t="s">
        <v>51</v>
      </c>
      <c r="AG145" s="235" t="s">
        <v>47</v>
      </c>
    </row>
    <row r="146" spans="1:33">
      <c r="A146" s="298" t="s">
        <v>115</v>
      </c>
      <c r="B146" s="298"/>
      <c r="C146" s="298"/>
      <c r="D146" s="298"/>
      <c r="E146" s="298"/>
      <c r="F146" s="298"/>
      <c r="G146" s="298"/>
      <c r="H146" s="298"/>
      <c r="I146" s="298"/>
      <c r="J146" s="298"/>
      <c r="K146" s="298"/>
      <c r="L146" s="298"/>
      <c r="M146" s="298"/>
      <c r="N146" s="235">
        <v>1</v>
      </c>
      <c r="O146" s="235">
        <v>1</v>
      </c>
      <c r="P146" s="235">
        <f>+N146</f>
        <v>1</v>
      </c>
      <c r="Q146" s="235">
        <v>1</v>
      </c>
      <c r="R146" s="235">
        <v>1.5</v>
      </c>
      <c r="S146" s="235">
        <f>+O147</f>
        <v>1.1439999999999999</v>
      </c>
      <c r="U146" s="235">
        <v>1</v>
      </c>
      <c r="V146" s="235">
        <v>1</v>
      </c>
      <c r="W146" s="235">
        <f>+U146</f>
        <v>1</v>
      </c>
      <c r="X146" s="235">
        <v>1</v>
      </c>
      <c r="Y146" s="235">
        <v>3</v>
      </c>
      <c r="Z146" s="235">
        <f>+V147</f>
        <v>1.016</v>
      </c>
      <c r="AB146" s="235">
        <v>1</v>
      </c>
      <c r="AC146" s="235">
        <v>1</v>
      </c>
      <c r="AD146" s="235">
        <f>+AB146</f>
        <v>1</v>
      </c>
      <c r="AE146" s="235">
        <v>1</v>
      </c>
      <c r="AF146" s="235">
        <v>3</v>
      </c>
      <c r="AG146" s="235">
        <f>+AC147</f>
        <v>1.016</v>
      </c>
    </row>
    <row r="147" spans="1:33">
      <c r="A147" s="298"/>
      <c r="B147" s="298"/>
      <c r="C147" s="298"/>
      <c r="D147" s="298"/>
      <c r="E147" s="298"/>
      <c r="F147" s="298"/>
      <c r="G147" s="298"/>
      <c r="H147" s="298"/>
      <c r="I147" s="298"/>
      <c r="J147" s="298"/>
      <c r="K147" s="298"/>
      <c r="L147" s="298"/>
      <c r="M147" s="298"/>
      <c r="N147" s="236">
        <v>1.36</v>
      </c>
      <c r="O147" s="237">
        <v>1.1439999999999999</v>
      </c>
      <c r="P147" s="236">
        <f>+N147</f>
        <v>1.36</v>
      </c>
      <c r="Q147" s="237">
        <v>1.0864</v>
      </c>
      <c r="R147" s="236">
        <v>1.82</v>
      </c>
      <c r="S147" s="238">
        <v>1.1100000000000001</v>
      </c>
      <c r="U147" s="236">
        <v>1.36</v>
      </c>
      <c r="V147" s="237">
        <v>1.016</v>
      </c>
      <c r="W147" s="236">
        <f>+U147</f>
        <v>1.36</v>
      </c>
      <c r="X147" s="237">
        <v>1</v>
      </c>
      <c r="Y147" s="236">
        <v>3.7</v>
      </c>
      <c r="Z147" s="238">
        <v>1.0047999999999999</v>
      </c>
      <c r="AB147" s="236">
        <v>1.36</v>
      </c>
      <c r="AC147" s="237">
        <v>1.016</v>
      </c>
      <c r="AD147" s="236">
        <f>+AB147</f>
        <v>1.36</v>
      </c>
      <c r="AE147" s="237">
        <v>1</v>
      </c>
      <c r="AF147" s="236">
        <v>3.7</v>
      </c>
      <c r="AG147" s="238">
        <v>1.0054399999999999</v>
      </c>
    </row>
    <row r="148" spans="1:33">
      <c r="N148" s="235">
        <v>1.5</v>
      </c>
      <c r="O148" s="235">
        <v>1.2</v>
      </c>
      <c r="P148" s="235">
        <f>+N148</f>
        <v>1.5</v>
      </c>
      <c r="Q148" s="235">
        <v>1.1200000000000001</v>
      </c>
      <c r="R148" s="235">
        <v>2</v>
      </c>
      <c r="S148" s="235">
        <f>+Q147</f>
        <v>1.0864</v>
      </c>
      <c r="U148" s="235">
        <v>1.5</v>
      </c>
      <c r="V148" s="235">
        <v>1.03</v>
      </c>
      <c r="W148" s="235">
        <f>+U148</f>
        <v>1.5</v>
      </c>
      <c r="X148" s="235">
        <v>1</v>
      </c>
      <c r="Y148" s="235">
        <v>4</v>
      </c>
      <c r="Z148" s="235">
        <f>+X147</f>
        <v>1</v>
      </c>
      <c r="AB148" s="235">
        <v>1.5</v>
      </c>
      <c r="AC148" s="235">
        <v>1.03</v>
      </c>
      <c r="AD148" s="235">
        <f>+AB148</f>
        <v>1.5</v>
      </c>
      <c r="AE148" s="235">
        <v>1</v>
      </c>
      <c r="AF148" s="235">
        <v>4</v>
      </c>
      <c r="AG148" s="235">
        <f>+AE147</f>
        <v>1</v>
      </c>
    </row>
    <row r="149" spans="1:33">
      <c r="N149" s="293" t="s">
        <v>348</v>
      </c>
      <c r="O149" s="294"/>
      <c r="P149" s="293" t="s">
        <v>349</v>
      </c>
      <c r="Q149" s="294"/>
      <c r="R149" s="293"/>
      <c r="S149" s="294"/>
      <c r="U149" s="293" t="s">
        <v>348</v>
      </c>
      <c r="V149" s="294"/>
      <c r="W149" s="293" t="s">
        <v>349</v>
      </c>
      <c r="X149" s="294"/>
      <c r="Y149" s="293"/>
      <c r="Z149" s="294"/>
      <c r="AB149" s="293" t="s">
        <v>348</v>
      </c>
      <c r="AC149" s="294"/>
      <c r="AD149" s="293" t="s">
        <v>349</v>
      </c>
      <c r="AE149" s="294"/>
      <c r="AF149" s="293"/>
      <c r="AG149" s="294"/>
    </row>
    <row r="153" spans="1:33">
      <c r="C153" s="17" t="s">
        <v>2</v>
      </c>
    </row>
    <row r="154" spans="1:33">
      <c r="C154" s="62" t="s">
        <v>61</v>
      </c>
      <c r="D154" s="17" t="s">
        <v>216</v>
      </c>
    </row>
    <row r="155" spans="1:33">
      <c r="C155" s="62"/>
      <c r="D155" s="17" t="s">
        <v>214</v>
      </c>
    </row>
    <row r="156" spans="1:33">
      <c r="C156" s="62"/>
      <c r="D156" s="17" t="s">
        <v>215</v>
      </c>
    </row>
    <row r="157" spans="1:33">
      <c r="C157" s="62" t="s">
        <v>62</v>
      </c>
      <c r="D157" s="17" t="s">
        <v>217</v>
      </c>
    </row>
    <row r="158" spans="1:33">
      <c r="C158" s="62"/>
      <c r="D158" s="17" t="s">
        <v>219</v>
      </c>
    </row>
    <row r="159" spans="1:33">
      <c r="C159" s="62"/>
      <c r="D159" s="17" t="s">
        <v>218</v>
      </c>
    </row>
    <row r="160" spans="1:33">
      <c r="C160" s="62" t="s">
        <v>63</v>
      </c>
      <c r="D160" s="17" t="s">
        <v>220</v>
      </c>
    </row>
    <row r="161" spans="2:24">
      <c r="C161" s="62" t="s">
        <v>64</v>
      </c>
      <c r="D161" s="17" t="s">
        <v>65</v>
      </c>
    </row>
    <row r="162" spans="2:24" ht="17.25" customHeight="1">
      <c r="C162" s="62"/>
      <c r="D162" s="17" t="s">
        <v>107</v>
      </c>
    </row>
    <row r="163" spans="2:24">
      <c r="C163" s="62" t="s">
        <v>66</v>
      </c>
      <c r="D163" s="17" t="s">
        <v>221</v>
      </c>
    </row>
    <row r="164" spans="2:24">
      <c r="C164" s="62"/>
      <c r="D164" s="56"/>
    </row>
    <row r="165" spans="2:24" ht="13.5">
      <c r="D165" s="48" t="s">
        <v>108</v>
      </c>
      <c r="E165" s="49"/>
      <c r="F165" s="53">
        <f>D122/8</f>
        <v>7.4709711470795206</v>
      </c>
      <c r="G165" s="123" t="str">
        <f>E122</f>
        <v>Para tuberías PVC Novafort</v>
      </c>
      <c r="H165" s="72"/>
      <c r="I165" s="60"/>
      <c r="J165" s="72"/>
    </row>
    <row r="166" spans="2:24" ht="13.5">
      <c r="D166" s="48" t="s">
        <v>108</v>
      </c>
      <c r="E166" s="49"/>
      <c r="F166" s="53">
        <f>D124/8</f>
        <v>3.6699507389162553</v>
      </c>
      <c r="G166" s="123" t="s">
        <v>44</v>
      </c>
      <c r="H166" s="72"/>
      <c r="I166" s="60"/>
      <c r="J166" s="72"/>
    </row>
    <row r="167" spans="2:24">
      <c r="D167" s="48" t="s">
        <v>67</v>
      </c>
      <c r="E167" s="49"/>
      <c r="F167" s="53">
        <v>3.7</v>
      </c>
      <c r="G167" s="72" t="s">
        <v>68</v>
      </c>
      <c r="H167" s="72"/>
      <c r="I167" s="72"/>
      <c r="J167" s="72"/>
    </row>
    <row r="169" spans="2:24" s="31" customFormat="1" ht="13.5">
      <c r="B169" s="274" t="str">
        <f>B$41</f>
        <v>Pozo de</v>
      </c>
      <c r="C169" s="274" t="str">
        <f>C$41</f>
        <v>Pozo a</v>
      </c>
      <c r="D169" s="274" t="s">
        <v>130</v>
      </c>
      <c r="E169" s="274" t="s">
        <v>208</v>
      </c>
      <c r="F169" s="274" t="s">
        <v>207</v>
      </c>
      <c r="G169" s="136" t="s">
        <v>9</v>
      </c>
      <c r="H169" s="136" t="s">
        <v>45</v>
      </c>
      <c r="I169" s="274" t="s">
        <v>69</v>
      </c>
      <c r="J169" s="274" t="s">
        <v>70</v>
      </c>
      <c r="K169" s="274" t="s">
        <v>71</v>
      </c>
      <c r="L169" s="136" t="s">
        <v>229</v>
      </c>
      <c r="W169" s="17"/>
      <c r="X169" s="17"/>
    </row>
    <row r="170" spans="2:24">
      <c r="B170" s="275"/>
      <c r="C170" s="275"/>
      <c r="D170" s="275"/>
      <c r="E170" s="287"/>
      <c r="F170" s="287"/>
      <c r="G170" s="146" t="s">
        <v>16</v>
      </c>
      <c r="H170" s="147" t="s">
        <v>49</v>
      </c>
      <c r="I170" s="275"/>
      <c r="J170" s="275"/>
      <c r="K170" s="275"/>
      <c r="L170" s="148" t="s">
        <v>72</v>
      </c>
    </row>
    <row r="171" spans="2:24" s="74" customFormat="1">
      <c r="B171" s="135" t="str">
        <f t="shared" ref="B171:E177" si="38">+B128</f>
        <v>PZ6</v>
      </c>
      <c r="C171" s="140" t="str">
        <f t="shared" si="38"/>
        <v>PZ4</v>
      </c>
      <c r="D171" s="135">
        <f t="shared" si="38"/>
        <v>38.74</v>
      </c>
      <c r="E171" s="135">
        <f t="shared" si="38"/>
        <v>0.73</v>
      </c>
      <c r="F171" s="135">
        <f t="shared" ref="F171:F177" si="39">+G78</f>
        <v>2.2799999999999998</v>
      </c>
      <c r="G171" s="135">
        <f t="shared" ref="G171:H177" si="40">+F128</f>
        <v>1.325</v>
      </c>
      <c r="H171" s="135">
        <f t="shared" si="40"/>
        <v>39.027063907793085</v>
      </c>
      <c r="I171" s="28">
        <f>IF(F171/E171&gt;=2,2.5,3)</f>
        <v>2.5</v>
      </c>
      <c r="J171" s="28">
        <f t="shared" ref="J171:J177" si="41">IF($F$167&lt;=F171,1-0.33*($F$167/F171),1)</f>
        <v>1</v>
      </c>
      <c r="K171" s="135">
        <f>1/(1+4*EXP(-0.2133*F171))</f>
        <v>0.2890565882120491</v>
      </c>
      <c r="L171" s="135">
        <f t="shared" ref="L171:L177" si="42">1/I171*SQRT(32*J171*K171*K128*IF(E171&lt;=0.5,$F$165,$F$166))</f>
        <v>257.52201747592227</v>
      </c>
      <c r="W171" s="76"/>
      <c r="X171" s="76"/>
    </row>
    <row r="172" spans="2:24" s="74" customFormat="1">
      <c r="B172" s="135" t="str">
        <f t="shared" si="38"/>
        <v>PZ4</v>
      </c>
      <c r="C172" s="140" t="str">
        <f t="shared" si="38"/>
        <v>PZ11-6</v>
      </c>
      <c r="D172" s="135">
        <f t="shared" si="38"/>
        <v>54.97</v>
      </c>
      <c r="E172" s="135">
        <f t="shared" si="38"/>
        <v>0.73</v>
      </c>
      <c r="F172" s="135">
        <f t="shared" si="39"/>
        <v>1.97</v>
      </c>
      <c r="G172" s="135">
        <f t="shared" si="40"/>
        <v>1.325</v>
      </c>
      <c r="H172" s="135">
        <f t="shared" si="40"/>
        <v>38.208761011714948</v>
      </c>
      <c r="I172" s="28">
        <f t="shared" ref="I172:I176" si="43">IF(F172/E172&gt;=2,2.5,3)</f>
        <v>2.5</v>
      </c>
      <c r="J172" s="28">
        <f t="shared" si="41"/>
        <v>1</v>
      </c>
      <c r="K172" s="135">
        <f t="shared" ref="K172:K177" si="44">1/(1+4*EXP(-0.2133*F172))</f>
        <v>0.27565986263105752</v>
      </c>
      <c r="L172" s="135">
        <f t="shared" si="42"/>
        <v>251.48361673853984</v>
      </c>
      <c r="W172" s="76"/>
      <c r="X172" s="76"/>
    </row>
    <row r="173" spans="2:24" s="74" customFormat="1">
      <c r="B173" s="135" t="str">
        <f t="shared" si="38"/>
        <v>PZ11-6</v>
      </c>
      <c r="C173" s="140" t="str">
        <f t="shared" si="38"/>
        <v>PZ7</v>
      </c>
      <c r="D173" s="135">
        <f t="shared" si="38"/>
        <v>7.6</v>
      </c>
      <c r="E173" s="135">
        <f t="shared" si="38"/>
        <v>0.73</v>
      </c>
      <c r="F173" s="135">
        <f t="shared" si="39"/>
        <v>1.42</v>
      </c>
      <c r="G173" s="135">
        <f t="shared" si="40"/>
        <v>1.325</v>
      </c>
      <c r="H173" s="135">
        <f t="shared" si="40"/>
        <v>37.276519209218137</v>
      </c>
      <c r="I173" s="28">
        <f t="shared" si="43"/>
        <v>3</v>
      </c>
      <c r="J173" s="28">
        <f t="shared" si="41"/>
        <v>1</v>
      </c>
      <c r="K173" s="135">
        <f t="shared" si="44"/>
        <v>0.25286155802271049</v>
      </c>
      <c r="L173" s="135">
        <f t="shared" si="42"/>
        <v>200.71650612491175</v>
      </c>
      <c r="W173" s="76"/>
      <c r="X173" s="76"/>
    </row>
    <row r="174" spans="2:24" s="74" customFormat="1">
      <c r="B174" s="135" t="str">
        <f t="shared" si="38"/>
        <v>PZ7</v>
      </c>
      <c r="C174" s="140">
        <f t="shared" si="38"/>
        <v>117577</v>
      </c>
      <c r="D174" s="135">
        <f t="shared" si="38"/>
        <v>29.84</v>
      </c>
      <c r="E174" s="135">
        <f t="shared" si="38"/>
        <v>0.73</v>
      </c>
      <c r="F174" s="135">
        <f t="shared" si="39"/>
        <v>1.87</v>
      </c>
      <c r="G174" s="135">
        <f t="shared" si="40"/>
        <v>1.325</v>
      </c>
      <c r="H174" s="135">
        <f t="shared" si="40"/>
        <v>37.976156066469223</v>
      </c>
      <c r="I174" s="28">
        <f t="shared" si="43"/>
        <v>2.5</v>
      </c>
      <c r="J174" s="28">
        <f t="shared" si="41"/>
        <v>1</v>
      </c>
      <c r="K174" s="135">
        <f t="shared" si="44"/>
        <v>0.27142131238180778</v>
      </c>
      <c r="L174" s="135">
        <f t="shared" si="42"/>
        <v>249.54271905644811</v>
      </c>
      <c r="W174" s="76"/>
      <c r="X174" s="76"/>
    </row>
    <row r="175" spans="2:24" s="74" customFormat="1">
      <c r="B175" s="135" t="str">
        <f t="shared" si="38"/>
        <v>PZ8</v>
      </c>
      <c r="C175" s="140" t="str">
        <f t="shared" si="38"/>
        <v>PZ7</v>
      </c>
      <c r="D175" s="135">
        <f t="shared" si="38"/>
        <v>6.02</v>
      </c>
      <c r="E175" s="135">
        <f t="shared" si="38"/>
        <v>0.27</v>
      </c>
      <c r="F175" s="135">
        <f t="shared" si="39"/>
        <v>1.4</v>
      </c>
      <c r="G175" s="135">
        <f t="shared" si="40"/>
        <v>1</v>
      </c>
      <c r="H175" s="135">
        <f t="shared" si="40"/>
        <v>31.770327217703802</v>
      </c>
      <c r="I175" s="28">
        <f t="shared" si="43"/>
        <v>2.5</v>
      </c>
      <c r="J175" s="28">
        <f t="shared" si="41"/>
        <v>1</v>
      </c>
      <c r="K175" s="135">
        <f t="shared" si="44"/>
        <v>0.25205646427699829</v>
      </c>
      <c r="L175" s="135">
        <f t="shared" si="42"/>
        <v>326.44392111972843</v>
      </c>
      <c r="W175" s="76"/>
      <c r="X175" s="76"/>
    </row>
    <row r="176" spans="2:24" s="74" customFormat="1">
      <c r="B176" s="135" t="str">
        <f t="shared" si="38"/>
        <v>PZ9</v>
      </c>
      <c r="C176" s="140" t="str">
        <f t="shared" si="38"/>
        <v>PZ10</v>
      </c>
      <c r="D176" s="135">
        <f t="shared" si="38"/>
        <v>21.39</v>
      </c>
      <c r="E176" s="135">
        <f t="shared" si="38"/>
        <v>0.27</v>
      </c>
      <c r="F176" s="135">
        <f t="shared" si="39"/>
        <v>1</v>
      </c>
      <c r="G176" s="135">
        <f t="shared" si="40"/>
        <v>1</v>
      </c>
      <c r="H176" s="135">
        <f t="shared" si="40"/>
        <v>36.117542596592273</v>
      </c>
      <c r="I176" s="28">
        <f t="shared" si="43"/>
        <v>2.5</v>
      </c>
      <c r="J176" s="28">
        <f t="shared" si="41"/>
        <v>1</v>
      </c>
      <c r="K176" s="135">
        <f t="shared" si="44"/>
        <v>0.23631416596766189</v>
      </c>
      <c r="L176" s="135">
        <f t="shared" si="42"/>
        <v>316.08547848016048</v>
      </c>
      <c r="W176" s="76"/>
      <c r="X176" s="76"/>
    </row>
    <row r="177" spans="1:24" s="74" customFormat="1">
      <c r="B177" s="135" t="str">
        <f t="shared" si="38"/>
        <v>PZ10</v>
      </c>
      <c r="C177" s="140">
        <f t="shared" si="38"/>
        <v>117576</v>
      </c>
      <c r="D177" s="135">
        <f t="shared" si="38"/>
        <v>8.1999999999999993</v>
      </c>
      <c r="E177" s="135">
        <f t="shared" si="38"/>
        <v>0.27</v>
      </c>
      <c r="F177" s="135">
        <f t="shared" si="39"/>
        <v>0.9</v>
      </c>
      <c r="G177" s="135">
        <f t="shared" si="40"/>
        <v>1</v>
      </c>
      <c r="H177" s="135">
        <f t="shared" si="40"/>
        <v>41.083308464111134</v>
      </c>
      <c r="I177" s="28">
        <f t="shared" ref="I177" si="45">IF(F177/E177&gt;=2,2.5,3)</f>
        <v>2.5</v>
      </c>
      <c r="J177" s="28">
        <f t="shared" si="41"/>
        <v>1</v>
      </c>
      <c r="K177" s="135">
        <f t="shared" si="44"/>
        <v>0.2324864195140445</v>
      </c>
      <c r="L177" s="135">
        <f t="shared" si="42"/>
        <v>313.5150982197593</v>
      </c>
      <c r="W177" s="76"/>
      <c r="X177" s="76"/>
    </row>
    <row r="178" spans="1:24" s="74" customFormat="1">
      <c r="B178" s="283" t="str">
        <f t="shared" ref="B178" si="46">+B135</f>
        <v>SUMIDEROS</v>
      </c>
      <c r="C178" s="284"/>
      <c r="D178" s="284"/>
      <c r="E178" s="284"/>
      <c r="F178" s="284"/>
      <c r="G178" s="284"/>
      <c r="H178" s="284"/>
      <c r="I178" s="284"/>
      <c r="J178" s="284"/>
      <c r="K178" s="284"/>
      <c r="L178" s="285"/>
      <c r="W178" s="76"/>
      <c r="X178" s="76"/>
    </row>
    <row r="179" spans="1:24" s="74" customFormat="1">
      <c r="B179" s="135" t="str">
        <f t="shared" ref="B179:E179" si="47">+B136</f>
        <v>S1</v>
      </c>
      <c r="C179" s="140" t="str">
        <f t="shared" si="47"/>
        <v>PZ4</v>
      </c>
      <c r="D179" s="135">
        <f t="shared" si="47"/>
        <v>6.2</v>
      </c>
      <c r="E179" s="135">
        <f t="shared" si="47"/>
        <v>0.2732</v>
      </c>
      <c r="F179" s="135">
        <f t="shared" ref="F179:F183" si="48">+G86</f>
        <v>1.17</v>
      </c>
      <c r="G179" s="135">
        <f t="shared" ref="G179:H179" si="49">+F136</f>
        <v>1</v>
      </c>
      <c r="H179" s="135">
        <f t="shared" si="49"/>
        <v>33.921419352907272</v>
      </c>
      <c r="I179" s="28">
        <f t="shared" ref="I179:I183" si="50">IF(F179/E179&gt;=2,2.5,3)</f>
        <v>2.5</v>
      </c>
      <c r="J179" s="28">
        <f>IF($F$167&lt;=F179,1-0.33*($F$167/F179),1)</f>
        <v>1</v>
      </c>
      <c r="K179" s="135">
        <f t="shared" ref="K179:K183" si="51">1/(1+4*EXP(-0.2133*F179))</f>
        <v>0.24292062456242144</v>
      </c>
      <c r="L179" s="135">
        <f>1/I179*SQRT(32*J179*K179*K136*IF(E179&lt;=0.5,$F$165,$F$166))</f>
        <v>320.56897429188604</v>
      </c>
      <c r="W179" s="76"/>
      <c r="X179" s="76"/>
    </row>
    <row r="180" spans="1:24" s="74" customFormat="1">
      <c r="B180" s="135" t="str">
        <f t="shared" ref="B180:E180" si="52">+B137</f>
        <v>S2</v>
      </c>
      <c r="C180" s="140">
        <f t="shared" si="52"/>
        <v>117578</v>
      </c>
      <c r="D180" s="135">
        <f t="shared" si="52"/>
        <v>7.5</v>
      </c>
      <c r="E180" s="135">
        <f t="shared" si="52"/>
        <v>0.2732</v>
      </c>
      <c r="F180" s="135">
        <f t="shared" si="48"/>
        <v>1.19</v>
      </c>
      <c r="G180" s="135">
        <f t="shared" ref="G180:H180" si="53">+F137</f>
        <v>1</v>
      </c>
      <c r="H180" s="135">
        <f t="shared" si="53"/>
        <v>33.703098432375917</v>
      </c>
      <c r="I180" s="28">
        <f t="shared" si="50"/>
        <v>2.5</v>
      </c>
      <c r="J180" s="28">
        <f>IF($F$167&lt;=F180,1-0.33*($F$167/F180),1)</f>
        <v>1</v>
      </c>
      <c r="K180" s="135">
        <f t="shared" si="51"/>
        <v>0.24370604563374895</v>
      </c>
      <c r="L180" s="135">
        <f>1/I180*SQRT(32*J180*K180*K137*IF(E180&lt;=0.5,$F$165,$F$166))</f>
        <v>321.0867945434909</v>
      </c>
      <c r="W180" s="76"/>
      <c r="X180" s="76"/>
    </row>
    <row r="181" spans="1:24" s="74" customFormat="1">
      <c r="B181" s="135" t="str">
        <f t="shared" ref="B181:E181" si="54">+B138</f>
        <v>S3</v>
      </c>
      <c r="C181" s="140" t="str">
        <f t="shared" si="54"/>
        <v>PZ9</v>
      </c>
      <c r="D181" s="135">
        <f t="shared" si="54"/>
        <v>4</v>
      </c>
      <c r="E181" s="135">
        <f t="shared" si="54"/>
        <v>0.2732</v>
      </c>
      <c r="F181" s="135">
        <f t="shared" si="48"/>
        <v>1.07</v>
      </c>
      <c r="G181" s="135">
        <f t="shared" ref="G181:H181" si="55">+F138</f>
        <v>1</v>
      </c>
      <c r="H181" s="135">
        <f t="shared" si="55"/>
        <v>35.138974713620094</v>
      </c>
      <c r="I181" s="28">
        <f t="shared" si="50"/>
        <v>2.5</v>
      </c>
      <c r="J181" s="28">
        <f>IF($F$167&lt;=F181,1-0.33*($F$167/F181),1)</f>
        <v>1</v>
      </c>
      <c r="K181" s="135">
        <f t="shared" si="51"/>
        <v>0.2390193606135099</v>
      </c>
      <c r="L181" s="135">
        <f>1/I181*SQRT(32*J181*K181*K138*IF(E181&lt;=0.5,$F$165,$F$166))</f>
        <v>317.98441376535328</v>
      </c>
      <c r="W181" s="76"/>
      <c r="X181" s="76"/>
    </row>
    <row r="182" spans="1:24" s="74" customFormat="1">
      <c r="B182" s="135" t="str">
        <f t="shared" ref="B182:E182" si="56">+B139</f>
        <v>S4</v>
      </c>
      <c r="C182" s="140" t="str">
        <f t="shared" si="56"/>
        <v>PZ9</v>
      </c>
      <c r="D182" s="135">
        <f t="shared" si="56"/>
        <v>5.9</v>
      </c>
      <c r="E182" s="135">
        <f t="shared" si="56"/>
        <v>0.2732</v>
      </c>
      <c r="F182" s="135">
        <f t="shared" si="48"/>
        <v>1.07</v>
      </c>
      <c r="G182" s="135">
        <f t="shared" ref="G182:H182" si="57">+F139</f>
        <v>1</v>
      </c>
      <c r="H182" s="135">
        <f t="shared" si="57"/>
        <v>35.138974713620094</v>
      </c>
      <c r="I182" s="28">
        <f t="shared" si="50"/>
        <v>2.5</v>
      </c>
      <c r="J182" s="28">
        <f>IF($F$167&lt;=F182,1-0.33*($F$167/F182),1)</f>
        <v>1</v>
      </c>
      <c r="K182" s="135">
        <f t="shared" si="51"/>
        <v>0.2390193606135099</v>
      </c>
      <c r="L182" s="135">
        <f>1/I182*SQRT(32*J182*K182*K139*IF(E182&lt;=0.5,$F$165,$F$166))</f>
        <v>317.98441376535328</v>
      </c>
      <c r="W182" s="76"/>
      <c r="X182" s="76"/>
    </row>
    <row r="183" spans="1:24" s="74" customFormat="1">
      <c r="B183" s="135" t="str">
        <f t="shared" ref="B183:E183" si="58">+B140</f>
        <v>S5</v>
      </c>
      <c r="C183" s="140" t="str">
        <f t="shared" si="58"/>
        <v>PZ10</v>
      </c>
      <c r="D183" s="135">
        <f t="shared" si="58"/>
        <v>5.6</v>
      </c>
      <c r="E183" s="135">
        <f t="shared" si="58"/>
        <v>0.2732</v>
      </c>
      <c r="F183" s="135">
        <f t="shared" si="48"/>
        <v>1.19</v>
      </c>
      <c r="G183" s="135">
        <f t="shared" ref="G183:H183" si="59">+F140</f>
        <v>1</v>
      </c>
      <c r="H183" s="135">
        <f t="shared" si="59"/>
        <v>33.703098432375917</v>
      </c>
      <c r="I183" s="28">
        <f t="shared" si="50"/>
        <v>2.5</v>
      </c>
      <c r="J183" s="28">
        <f>IF($F$167&lt;=F183,1-0.33*($F$167/F183),1)</f>
        <v>1</v>
      </c>
      <c r="K183" s="135">
        <f t="shared" si="51"/>
        <v>0.24370604563374895</v>
      </c>
      <c r="L183" s="135">
        <f>1/I183*SQRT(32*J183*K183*K140*IF(E183&lt;=0.5,$F$165,$F$166))</f>
        <v>321.0867945434909</v>
      </c>
      <c r="W183" s="76"/>
      <c r="X183" s="76"/>
    </row>
    <row r="184" spans="1:24" s="74" customFormat="1"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</row>
    <row r="185" spans="1:24">
      <c r="A185" s="17" t="s">
        <v>73</v>
      </c>
      <c r="H185" s="63"/>
    </row>
    <row r="186" spans="1:24">
      <c r="H186" s="63"/>
    </row>
    <row r="187" spans="1:24">
      <c r="H187" s="63"/>
    </row>
    <row r="188" spans="1:24">
      <c r="H188" s="63"/>
    </row>
    <row r="189" spans="1:24">
      <c r="H189" s="63"/>
    </row>
    <row r="190" spans="1:24">
      <c r="H190" s="63"/>
    </row>
    <row r="192" spans="1:24" s="31" customFormat="1" ht="27" customHeight="1">
      <c r="C192" s="136" t="str">
        <f>B$41</f>
        <v>Pozo de</v>
      </c>
      <c r="D192" s="136" t="str">
        <f>C$41</f>
        <v>Pozo a</v>
      </c>
      <c r="E192" s="136" t="s">
        <v>222</v>
      </c>
      <c r="F192" s="122" t="s">
        <v>204</v>
      </c>
      <c r="G192" s="136" t="s">
        <v>207</v>
      </c>
      <c r="H192" s="136" t="s">
        <v>206</v>
      </c>
      <c r="I192" s="136" t="s">
        <v>211</v>
      </c>
      <c r="J192" s="136" t="s">
        <v>230</v>
      </c>
      <c r="K192" s="136" t="s">
        <v>231</v>
      </c>
      <c r="W192" s="17"/>
      <c r="X192" s="17"/>
    </row>
    <row r="193" spans="1:11" s="74" customFormat="1">
      <c r="C193" s="135" t="str">
        <f t="shared" ref="C193:G199" si="60">+B171</f>
        <v>PZ6</v>
      </c>
      <c r="D193" s="135" t="str">
        <f t="shared" si="60"/>
        <v>PZ4</v>
      </c>
      <c r="E193" s="135">
        <f t="shared" si="60"/>
        <v>38.74</v>
      </c>
      <c r="F193" s="135">
        <f t="shared" si="60"/>
        <v>0.73</v>
      </c>
      <c r="G193" s="135">
        <f t="shared" si="60"/>
        <v>2.2799999999999998</v>
      </c>
      <c r="H193" s="135">
        <f t="shared" ref="H193:H199" si="61">+K42</f>
        <v>24.343113007253908</v>
      </c>
      <c r="I193" s="135">
        <f t="shared" ref="I193:I199" si="62">+L78</f>
        <v>14.683950900539177</v>
      </c>
      <c r="J193" s="135">
        <f t="shared" ref="J193:J199" si="63">10*IF(G193&gt;$F$167,G193-$F$167,0)+(J171*H193/F193)+I193/F193</f>
        <v>53.461731380538474</v>
      </c>
      <c r="K193" s="135" t="str">
        <f t="shared" ref="K193:K199" si="64">IF(J193&lt;L171,"OK","NO CUMPLE")</f>
        <v>OK</v>
      </c>
    </row>
    <row r="194" spans="1:11" s="74" customFormat="1">
      <c r="C194" s="135" t="str">
        <f t="shared" si="60"/>
        <v>PZ4</v>
      </c>
      <c r="D194" s="135" t="str">
        <f t="shared" si="60"/>
        <v>PZ11-6</v>
      </c>
      <c r="E194" s="135">
        <f t="shared" si="60"/>
        <v>54.97</v>
      </c>
      <c r="F194" s="135">
        <f t="shared" si="60"/>
        <v>0.73</v>
      </c>
      <c r="G194" s="135">
        <f t="shared" si="60"/>
        <v>1.97</v>
      </c>
      <c r="H194" s="135">
        <f t="shared" si="61"/>
        <v>21.900951099624233</v>
      </c>
      <c r="I194" s="135">
        <f t="shared" si="62"/>
        <v>16.307809912090715</v>
      </c>
      <c r="J194" s="135">
        <f t="shared" si="63"/>
        <v>52.340768509198561</v>
      </c>
      <c r="K194" s="135" t="str">
        <f t="shared" si="64"/>
        <v>OK</v>
      </c>
    </row>
    <row r="195" spans="1:11" s="74" customFormat="1">
      <c r="C195" s="135" t="str">
        <f t="shared" si="60"/>
        <v>PZ11-6</v>
      </c>
      <c r="D195" s="135" t="str">
        <f t="shared" si="60"/>
        <v>PZ7</v>
      </c>
      <c r="E195" s="135">
        <f t="shared" si="60"/>
        <v>7.6</v>
      </c>
      <c r="F195" s="135">
        <f t="shared" si="60"/>
        <v>0.73</v>
      </c>
      <c r="G195" s="135">
        <f t="shared" si="60"/>
        <v>1.42</v>
      </c>
      <c r="H195" s="135">
        <f t="shared" si="61"/>
        <v>16.98804243001382</v>
      </c>
      <c r="I195" s="135">
        <f t="shared" si="62"/>
        <v>20.288476779204313</v>
      </c>
      <c r="J195" s="135">
        <f t="shared" si="63"/>
        <v>51.063724944134435</v>
      </c>
      <c r="K195" s="135" t="str">
        <f t="shared" si="64"/>
        <v>OK</v>
      </c>
    </row>
    <row r="196" spans="1:11" s="74" customFormat="1">
      <c r="C196" s="140" t="str">
        <f t="shared" si="60"/>
        <v>PZ7</v>
      </c>
      <c r="D196" s="140">
        <f t="shared" si="60"/>
        <v>117577</v>
      </c>
      <c r="E196" s="135">
        <f t="shared" si="60"/>
        <v>29.84</v>
      </c>
      <c r="F196" s="135">
        <f t="shared" si="60"/>
        <v>0.73</v>
      </c>
      <c r="G196" s="135">
        <f t="shared" si="60"/>
        <v>1.87</v>
      </c>
      <c r="H196" s="135">
        <f t="shared" si="61"/>
        <v>21.065071378927936</v>
      </c>
      <c r="I196" s="135">
        <f t="shared" si="62"/>
        <v>16.911084687541287</v>
      </c>
      <c r="J196" s="135">
        <f t="shared" si="63"/>
        <v>52.022131597903041</v>
      </c>
      <c r="K196" s="135" t="str">
        <f t="shared" si="64"/>
        <v>OK</v>
      </c>
    </row>
    <row r="197" spans="1:11" s="74" customFormat="1">
      <c r="C197" s="140" t="str">
        <f t="shared" si="60"/>
        <v>PZ8</v>
      </c>
      <c r="D197" s="135" t="str">
        <f t="shared" si="60"/>
        <v>PZ7</v>
      </c>
      <c r="E197" s="135">
        <f t="shared" si="60"/>
        <v>6.02</v>
      </c>
      <c r="F197" s="135">
        <f t="shared" si="60"/>
        <v>0.27</v>
      </c>
      <c r="G197" s="135">
        <f t="shared" si="60"/>
        <v>1.4</v>
      </c>
      <c r="H197" s="135">
        <f t="shared" si="61"/>
        <v>7.5599999999999987</v>
      </c>
      <c r="I197" s="135">
        <f t="shared" si="62"/>
        <v>24.210327217703803</v>
      </c>
      <c r="J197" s="135">
        <f t="shared" si="63"/>
        <v>117.66787858408816</v>
      </c>
      <c r="K197" s="135" t="str">
        <f t="shared" si="64"/>
        <v>OK</v>
      </c>
    </row>
    <row r="198" spans="1:11" s="74" customFormat="1">
      <c r="C198" s="140" t="str">
        <f t="shared" si="60"/>
        <v>PZ9</v>
      </c>
      <c r="D198" s="135" t="str">
        <f t="shared" si="60"/>
        <v>PZ10</v>
      </c>
      <c r="E198" s="135">
        <f t="shared" si="60"/>
        <v>21.39</v>
      </c>
      <c r="F198" s="135">
        <f t="shared" si="60"/>
        <v>0.27</v>
      </c>
      <c r="G198" s="135">
        <f t="shared" si="60"/>
        <v>1</v>
      </c>
      <c r="H198" s="135">
        <f t="shared" si="61"/>
        <v>5.3999999999999995</v>
      </c>
      <c r="I198" s="135">
        <f t="shared" si="62"/>
        <v>30.717542596592271</v>
      </c>
      <c r="J198" s="135">
        <f t="shared" si="63"/>
        <v>133.76867628367506</v>
      </c>
      <c r="K198" s="135" t="str">
        <f t="shared" si="64"/>
        <v>OK</v>
      </c>
    </row>
    <row r="199" spans="1:11" s="74" customFormat="1">
      <c r="C199" s="140" t="str">
        <f t="shared" si="60"/>
        <v>PZ10</v>
      </c>
      <c r="D199" s="140">
        <f t="shared" si="60"/>
        <v>117576</v>
      </c>
      <c r="E199" s="135">
        <f t="shared" si="60"/>
        <v>8.1999999999999993</v>
      </c>
      <c r="F199" s="135">
        <f t="shared" si="60"/>
        <v>0.27</v>
      </c>
      <c r="G199" s="135">
        <f t="shared" si="60"/>
        <v>0.9</v>
      </c>
      <c r="H199" s="135">
        <f t="shared" si="61"/>
        <v>4.8599999999999994</v>
      </c>
      <c r="I199" s="135">
        <f t="shared" si="62"/>
        <v>36.223308464111135</v>
      </c>
      <c r="J199" s="135">
        <f t="shared" si="63"/>
        <v>152.16040171893013</v>
      </c>
      <c r="K199" s="135" t="str">
        <f t="shared" si="64"/>
        <v>OK</v>
      </c>
    </row>
    <row r="200" spans="1:11" s="74" customFormat="1">
      <c r="C200" s="280" t="str">
        <f t="shared" ref="C200" si="65">+B178</f>
        <v>SUMIDEROS</v>
      </c>
      <c r="D200" s="281"/>
      <c r="E200" s="281"/>
      <c r="F200" s="281"/>
      <c r="G200" s="281"/>
      <c r="H200" s="281"/>
      <c r="I200" s="281"/>
      <c r="J200" s="281"/>
      <c r="K200" s="282"/>
    </row>
    <row r="201" spans="1:11" s="74" customFormat="1">
      <c r="C201" s="140" t="str">
        <f t="shared" ref="C201:G201" si="66">+B179</f>
        <v>S1</v>
      </c>
      <c r="D201" s="140" t="str">
        <f t="shared" si="66"/>
        <v>PZ4</v>
      </c>
      <c r="E201" s="135">
        <f t="shared" si="66"/>
        <v>6.2</v>
      </c>
      <c r="F201" s="135">
        <f t="shared" si="66"/>
        <v>0.2732</v>
      </c>
      <c r="G201" s="135">
        <f t="shared" si="66"/>
        <v>1.17</v>
      </c>
      <c r="H201" s="135">
        <f>+K50</f>
        <v>6.392879999999999</v>
      </c>
      <c r="I201" s="135">
        <f t="shared" ref="I201:I204" si="67">+L86</f>
        <v>27.528539352907273</v>
      </c>
      <c r="J201" s="135">
        <f>10*IF(G201&gt;$F$167,G201-$F$167,0)+(J179*H201/F201)+I201/F201</f>
        <v>124.16332120390656</v>
      </c>
      <c r="K201" s="135" t="str">
        <f t="shared" ref="K201:K204" si="68">IF(J201&lt;L179,"OK","NO CUMPLE")</f>
        <v>OK</v>
      </c>
    </row>
    <row r="202" spans="1:11" s="74" customFormat="1">
      <c r="C202" s="140" t="str">
        <f t="shared" ref="C202:G202" si="69">+B180</f>
        <v>S2</v>
      </c>
      <c r="D202" s="140">
        <f t="shared" si="69"/>
        <v>117578</v>
      </c>
      <c r="E202" s="135">
        <f t="shared" si="69"/>
        <v>7.5</v>
      </c>
      <c r="F202" s="135">
        <f t="shared" si="69"/>
        <v>0.2732</v>
      </c>
      <c r="G202" s="135">
        <f t="shared" si="69"/>
        <v>1.19</v>
      </c>
      <c r="H202" s="135">
        <f>+K51</f>
        <v>6.5021599999999999</v>
      </c>
      <c r="I202" s="135">
        <f t="shared" si="67"/>
        <v>27.200938432375917</v>
      </c>
      <c r="J202" s="135">
        <f>10*IF(G202&gt;$F$167,G202-$F$167,0)+(J180*H202/F202)+I202/F202</f>
        <v>123.36419631177129</v>
      </c>
      <c r="K202" s="135" t="str">
        <f t="shared" si="68"/>
        <v>OK</v>
      </c>
    </row>
    <row r="203" spans="1:11" s="74" customFormat="1">
      <c r="C203" s="140" t="str">
        <f t="shared" ref="C203:G203" si="70">+B181</f>
        <v>S3</v>
      </c>
      <c r="D203" s="140" t="str">
        <f t="shared" si="70"/>
        <v>PZ9</v>
      </c>
      <c r="E203" s="135">
        <f t="shared" si="70"/>
        <v>4</v>
      </c>
      <c r="F203" s="135">
        <f t="shared" si="70"/>
        <v>0.2732</v>
      </c>
      <c r="G203" s="135">
        <f t="shared" si="70"/>
        <v>1.07</v>
      </c>
      <c r="H203" s="135">
        <f>+K52</f>
        <v>5.8464800000000006</v>
      </c>
      <c r="I203" s="135">
        <f t="shared" si="67"/>
        <v>29.292494713620094</v>
      </c>
      <c r="J203" s="135">
        <f>10*IF(G203&gt;$F$167,G203-$F$167,0)+(J181*H203/F203)+I203/F203</f>
        <v>128.61996600885831</v>
      </c>
      <c r="K203" s="135" t="str">
        <f t="shared" si="68"/>
        <v>OK</v>
      </c>
    </row>
    <row r="204" spans="1:11" s="74" customFormat="1">
      <c r="C204" s="140" t="str">
        <f t="shared" ref="C204:G204" si="71">+B182</f>
        <v>S4</v>
      </c>
      <c r="D204" s="140" t="str">
        <f t="shared" si="71"/>
        <v>PZ9</v>
      </c>
      <c r="E204" s="135">
        <f t="shared" si="71"/>
        <v>5.9</v>
      </c>
      <c r="F204" s="135">
        <f t="shared" si="71"/>
        <v>0.2732</v>
      </c>
      <c r="G204" s="135">
        <f t="shared" si="71"/>
        <v>1.07</v>
      </c>
      <c r="H204" s="135">
        <f>+K53</f>
        <v>5.8464800000000006</v>
      </c>
      <c r="I204" s="135">
        <f t="shared" si="67"/>
        <v>29.292494713620094</v>
      </c>
      <c r="J204" s="135">
        <f>10*IF(G204&gt;$F$167,G204-$F$167,0)+(J182*H204/F204)+I204/F204</f>
        <v>128.61996600885831</v>
      </c>
      <c r="K204" s="135" t="str">
        <f t="shared" si="68"/>
        <v>OK</v>
      </c>
    </row>
    <row r="205" spans="1:11" s="74" customFormat="1">
      <c r="C205" s="140" t="str">
        <f>+B183</f>
        <v>S5</v>
      </c>
      <c r="D205" s="140" t="str">
        <f>+C183</f>
        <v>PZ10</v>
      </c>
      <c r="E205" s="135">
        <f>+D183</f>
        <v>5.6</v>
      </c>
      <c r="F205" s="135">
        <f>+E183</f>
        <v>0.2732</v>
      </c>
      <c r="G205" s="135">
        <f>+F183</f>
        <v>1.19</v>
      </c>
      <c r="H205" s="135">
        <f>+K54</f>
        <v>6.5021599999999999</v>
      </c>
      <c r="I205" s="135">
        <f>+L90</f>
        <v>27.200938432375917</v>
      </c>
      <c r="J205" s="135">
        <f>10*IF(G205&gt;$F$167,G205-$F$167,0)+(J183*H205/F205)+I205/F205</f>
        <v>123.36419631177129</v>
      </c>
      <c r="K205" s="135" t="str">
        <f>IF(J205&lt;L183,"OK","NO CUMPLE")</f>
        <v>OK</v>
      </c>
    </row>
    <row r="206" spans="1:11" s="74" customFormat="1" ht="11.25"/>
    <row r="207" spans="1:11">
      <c r="A207" s="64" t="s">
        <v>74</v>
      </c>
      <c r="B207" s="65"/>
      <c r="C207" s="65"/>
      <c r="D207" s="65"/>
      <c r="E207" s="65"/>
      <c r="F207" s="65"/>
      <c r="G207" s="65"/>
    </row>
    <row r="208" spans="1:11">
      <c r="A208" s="65"/>
      <c r="B208" s="65"/>
      <c r="C208" s="65"/>
      <c r="D208" s="65"/>
      <c r="E208" s="65"/>
      <c r="F208" s="65"/>
      <c r="G208" s="65"/>
    </row>
    <row r="209" spans="1:22">
      <c r="A209" s="65" t="s">
        <v>109</v>
      </c>
      <c r="B209" s="65"/>
      <c r="C209" s="65"/>
      <c r="D209" s="65"/>
      <c r="E209" s="65"/>
      <c r="F209" s="65"/>
      <c r="G209" s="65"/>
    </row>
    <row r="210" spans="1:22">
      <c r="A210" s="65"/>
      <c r="B210" s="65"/>
      <c r="C210" s="65"/>
      <c r="D210" s="65"/>
      <c r="E210" s="65"/>
      <c r="F210" s="65"/>
      <c r="G210" s="65"/>
    </row>
    <row r="211" spans="1:22">
      <c r="A211" s="1"/>
      <c r="B211" s="65"/>
      <c r="C211" s="65"/>
      <c r="D211" s="65"/>
      <c r="E211" s="65"/>
      <c r="F211" s="65"/>
      <c r="G211" s="65"/>
    </row>
    <row r="212" spans="1:22">
      <c r="A212" s="65"/>
      <c r="B212" s="65"/>
      <c r="C212" s="65"/>
      <c r="D212" s="65"/>
      <c r="E212" s="65"/>
      <c r="F212" s="65"/>
      <c r="G212" s="65"/>
    </row>
    <row r="213" spans="1:22">
      <c r="A213" s="65"/>
      <c r="B213" s="65"/>
      <c r="C213" s="65"/>
      <c r="D213" s="65"/>
      <c r="E213" s="65"/>
      <c r="F213" s="65"/>
      <c r="G213" s="65"/>
    </row>
    <row r="214" spans="1:22">
      <c r="A214" s="65" t="s">
        <v>2</v>
      </c>
      <c r="B214" s="65"/>
      <c r="C214" s="65"/>
      <c r="D214" s="65"/>
      <c r="E214" s="65"/>
      <c r="F214" s="65"/>
      <c r="G214" s="65"/>
    </row>
    <row r="215" spans="1:22" ht="13.5">
      <c r="A215" s="65"/>
      <c r="B215" s="66" t="s">
        <v>110</v>
      </c>
      <c r="C215" s="67" t="s">
        <v>75</v>
      </c>
      <c r="D215" s="67"/>
      <c r="E215" s="65"/>
      <c r="F215" s="65"/>
      <c r="G215" s="65"/>
    </row>
    <row r="216" spans="1:22">
      <c r="A216" s="65"/>
      <c r="B216" s="66" t="s">
        <v>26</v>
      </c>
      <c r="C216" s="67" t="s">
        <v>76</v>
      </c>
      <c r="D216" s="65"/>
      <c r="E216" s="65"/>
      <c r="F216" s="65"/>
      <c r="G216" s="65"/>
    </row>
    <row r="217" spans="1:22" ht="13.5">
      <c r="A217" s="65"/>
      <c r="B217" s="66" t="s">
        <v>77</v>
      </c>
      <c r="C217" s="65" t="s">
        <v>111</v>
      </c>
      <c r="D217" s="65"/>
      <c r="E217" s="65"/>
      <c r="F217" s="65"/>
      <c r="G217" s="65"/>
    </row>
    <row r="218" spans="1:22">
      <c r="A218" s="65"/>
      <c r="B218" s="65"/>
      <c r="C218" s="65"/>
      <c r="D218" s="65"/>
      <c r="E218" s="65"/>
      <c r="F218" s="65"/>
      <c r="G218" s="65"/>
    </row>
    <row r="219" spans="1:22" ht="14.25">
      <c r="A219" s="65" t="s">
        <v>112</v>
      </c>
      <c r="B219" s="65"/>
      <c r="C219" s="65"/>
      <c r="D219" s="65"/>
      <c r="E219" s="65"/>
      <c r="F219" s="65"/>
      <c r="G219" s="65"/>
    </row>
    <row r="220" spans="1:22">
      <c r="B220" s="65"/>
      <c r="C220" s="65"/>
      <c r="D220" s="65"/>
      <c r="E220" s="65"/>
      <c r="F220" s="65"/>
      <c r="G220" s="65"/>
      <c r="H220" s="65"/>
    </row>
    <row r="221" spans="1:22" ht="25.5">
      <c r="D221" s="149" t="str">
        <f>B41</f>
        <v>Pozo de</v>
      </c>
      <c r="E221" s="149" t="str">
        <f>C41</f>
        <v>Pozo a</v>
      </c>
      <c r="F221" s="136" t="str">
        <f>E41</f>
        <v>Diám Nominal (in)</v>
      </c>
      <c r="G221" s="136" t="s">
        <v>208</v>
      </c>
      <c r="H221" s="149" t="s">
        <v>212</v>
      </c>
      <c r="I221" s="150" t="s">
        <v>232</v>
      </c>
      <c r="J221" s="150" t="s">
        <v>233</v>
      </c>
      <c r="O221" s="92"/>
      <c r="P221" s="92"/>
      <c r="Q221" s="111"/>
      <c r="R221" s="92"/>
      <c r="S221" s="92"/>
      <c r="T221" s="92"/>
      <c r="U221" s="92"/>
      <c r="V221" s="92"/>
    </row>
    <row r="222" spans="1:22" s="74" customFormat="1">
      <c r="D222" s="151" t="str">
        <f t="shared" ref="D222:E228" si="72">+C193</f>
        <v>PZ6</v>
      </c>
      <c r="E222" s="151" t="str">
        <f t="shared" si="72"/>
        <v>PZ4</v>
      </c>
      <c r="F222" s="151">
        <f t="shared" ref="F222:F228" si="73">+E42</f>
        <v>24</v>
      </c>
      <c r="G222" s="152">
        <f t="shared" ref="G222:G228" si="74">+F193</f>
        <v>0.73</v>
      </c>
      <c r="H222" s="152">
        <f t="shared" ref="H222:H228" si="75">+I193+H193</f>
        <v>39.027063907793085</v>
      </c>
      <c r="I222" s="152">
        <f>2*H222/(PI()*G222)</f>
        <v>34.034795261855187</v>
      </c>
      <c r="J222" s="152" t="str">
        <f t="shared" ref="J222" si="76">IF(I222&lt;67500,"OK","Falta")</f>
        <v>OK</v>
      </c>
    </row>
    <row r="223" spans="1:22" s="74" customFormat="1">
      <c r="D223" s="151" t="str">
        <f t="shared" si="72"/>
        <v>PZ4</v>
      </c>
      <c r="E223" s="151" t="str">
        <f t="shared" si="72"/>
        <v>PZ11-6</v>
      </c>
      <c r="F223" s="151">
        <f t="shared" si="73"/>
        <v>24</v>
      </c>
      <c r="G223" s="152">
        <f t="shared" si="74"/>
        <v>0.73</v>
      </c>
      <c r="H223" s="152">
        <f t="shared" si="75"/>
        <v>38.208761011714948</v>
      </c>
      <c r="I223" s="152">
        <f t="shared" ref="I223:I228" si="77">2*H223/(PI()*G223)</f>
        <v>33.321168133870259</v>
      </c>
      <c r="J223" s="152" t="str">
        <f t="shared" ref="J223:J228" si="78">IF(I223&lt;67500,"OK","Falta")</f>
        <v>OK</v>
      </c>
    </row>
    <row r="224" spans="1:22" s="74" customFormat="1">
      <c r="D224" s="151" t="str">
        <f t="shared" si="72"/>
        <v>PZ11-6</v>
      </c>
      <c r="E224" s="151" t="str">
        <f t="shared" si="72"/>
        <v>PZ7</v>
      </c>
      <c r="F224" s="151">
        <f t="shared" si="73"/>
        <v>24</v>
      </c>
      <c r="G224" s="152">
        <f t="shared" si="74"/>
        <v>0.73</v>
      </c>
      <c r="H224" s="152">
        <f t="shared" si="75"/>
        <v>37.276519209218137</v>
      </c>
      <c r="I224" s="152">
        <f t="shared" si="77"/>
        <v>32.508176950175653</v>
      </c>
      <c r="J224" s="152" t="str">
        <f t="shared" si="78"/>
        <v>OK</v>
      </c>
    </row>
    <row r="225" spans="1:16" s="74" customFormat="1">
      <c r="D225" s="151" t="str">
        <f t="shared" si="72"/>
        <v>PZ7</v>
      </c>
      <c r="E225" s="151">
        <f t="shared" si="72"/>
        <v>117577</v>
      </c>
      <c r="F225" s="151">
        <f t="shared" si="73"/>
        <v>24</v>
      </c>
      <c r="G225" s="152">
        <f t="shared" si="74"/>
        <v>0.73</v>
      </c>
      <c r="H225" s="152">
        <f t="shared" si="75"/>
        <v>37.976156066469223</v>
      </c>
      <c r="I225" s="152">
        <f t="shared" si="77"/>
        <v>33.118317575933396</v>
      </c>
      <c r="J225" s="152" t="str">
        <f t="shared" si="78"/>
        <v>OK</v>
      </c>
    </row>
    <row r="226" spans="1:16" s="74" customFormat="1">
      <c r="D226" s="151" t="str">
        <f t="shared" si="72"/>
        <v>PZ8</v>
      </c>
      <c r="E226" s="151" t="str">
        <f t="shared" si="72"/>
        <v>PZ7</v>
      </c>
      <c r="F226" s="151">
        <f t="shared" si="73"/>
        <v>10</v>
      </c>
      <c r="G226" s="152">
        <f t="shared" si="74"/>
        <v>0.27</v>
      </c>
      <c r="H226" s="152">
        <f t="shared" si="75"/>
        <v>31.770327217703802</v>
      </c>
      <c r="I226" s="152">
        <f t="shared" si="77"/>
        <v>74.909698079178398</v>
      </c>
      <c r="J226" s="152" t="str">
        <f t="shared" si="78"/>
        <v>OK</v>
      </c>
      <c r="O226" s="1"/>
      <c r="P226" s="13"/>
    </row>
    <row r="227" spans="1:16" s="74" customFormat="1">
      <c r="D227" s="151" t="str">
        <f t="shared" si="72"/>
        <v>PZ9</v>
      </c>
      <c r="E227" s="151" t="str">
        <f t="shared" si="72"/>
        <v>PZ10</v>
      </c>
      <c r="F227" s="151">
        <f t="shared" si="73"/>
        <v>10</v>
      </c>
      <c r="G227" s="152">
        <f t="shared" si="74"/>
        <v>0.27</v>
      </c>
      <c r="H227" s="152">
        <f t="shared" si="75"/>
        <v>36.117542596592273</v>
      </c>
      <c r="I227" s="152">
        <f t="shared" si="77"/>
        <v>85.1597842456259</v>
      </c>
      <c r="J227" s="152" t="str">
        <f t="shared" si="78"/>
        <v>OK</v>
      </c>
      <c r="O227" s="1"/>
      <c r="P227" s="13"/>
    </row>
    <row r="228" spans="1:16" s="74" customFormat="1">
      <c r="D228" s="151" t="str">
        <f t="shared" si="72"/>
        <v>PZ10</v>
      </c>
      <c r="E228" s="151">
        <f t="shared" si="72"/>
        <v>117576</v>
      </c>
      <c r="F228" s="151">
        <f t="shared" si="73"/>
        <v>10</v>
      </c>
      <c r="G228" s="152">
        <f t="shared" si="74"/>
        <v>0.27</v>
      </c>
      <c r="H228" s="152">
        <f t="shared" si="75"/>
        <v>41.083308464111134</v>
      </c>
      <c r="I228" s="152">
        <f t="shared" si="77"/>
        <v>96.868320305665023</v>
      </c>
      <c r="J228" s="152" t="str">
        <f t="shared" si="78"/>
        <v>OK</v>
      </c>
    </row>
    <row r="229" spans="1:16" s="74" customFormat="1">
      <c r="D229" s="289" t="str">
        <f t="shared" ref="D229" si="79">+C200</f>
        <v>SUMIDEROS</v>
      </c>
      <c r="E229" s="290"/>
      <c r="F229" s="290"/>
      <c r="G229" s="290"/>
      <c r="H229" s="290"/>
      <c r="I229" s="290"/>
      <c r="J229" s="291"/>
    </row>
    <row r="230" spans="1:16" s="74" customFormat="1">
      <c r="D230" s="151" t="str">
        <f t="shared" ref="D230:E230" si="80">+C201</f>
        <v>S1</v>
      </c>
      <c r="E230" s="151" t="str">
        <f t="shared" si="80"/>
        <v>PZ4</v>
      </c>
      <c r="F230" s="151">
        <f>+E50</f>
        <v>10</v>
      </c>
      <c r="G230" s="152">
        <f t="shared" ref="G230:G234" si="81">+F201</f>
        <v>0.2732</v>
      </c>
      <c r="H230" s="152">
        <f t="shared" ref="H230:H234" si="82">+I201+H201</f>
        <v>33.921419352907272</v>
      </c>
      <c r="I230" s="152">
        <f t="shared" ref="I230:I234" si="83">2*H230/(PI()*G230)</f>
        <v>79.044825281233884</v>
      </c>
      <c r="J230" s="152" t="str">
        <f t="shared" ref="J230:J234" si="84">IF(I230&lt;67500,"OK","Falta")</f>
        <v>OK</v>
      </c>
    </row>
    <row r="231" spans="1:16">
      <c r="D231" s="151" t="str">
        <f t="shared" ref="D231:E231" si="85">+C202</f>
        <v>S2</v>
      </c>
      <c r="E231" s="151">
        <f t="shared" si="85"/>
        <v>117578</v>
      </c>
      <c r="F231" s="151">
        <f>+E51</f>
        <v>10</v>
      </c>
      <c r="G231" s="152">
        <f t="shared" si="81"/>
        <v>0.2732</v>
      </c>
      <c r="H231" s="152">
        <f t="shared" si="82"/>
        <v>33.703098432375917</v>
      </c>
      <c r="I231" s="152">
        <f t="shared" si="83"/>
        <v>78.536086574309465</v>
      </c>
      <c r="J231" s="152" t="str">
        <f t="shared" si="84"/>
        <v>OK</v>
      </c>
    </row>
    <row r="232" spans="1:16">
      <c r="D232" s="151" t="str">
        <f t="shared" ref="D232:E232" si="86">+C203</f>
        <v>S3</v>
      </c>
      <c r="E232" s="151" t="str">
        <f t="shared" si="86"/>
        <v>PZ9</v>
      </c>
      <c r="F232" s="151">
        <f>+E52</f>
        <v>10</v>
      </c>
      <c r="G232" s="152">
        <f t="shared" si="81"/>
        <v>0.2732</v>
      </c>
      <c r="H232" s="152">
        <f t="shared" si="82"/>
        <v>35.138974713620094</v>
      </c>
      <c r="I232" s="152">
        <f t="shared" si="83"/>
        <v>81.882013482485448</v>
      </c>
      <c r="J232" s="152" t="str">
        <f t="shared" si="84"/>
        <v>OK</v>
      </c>
    </row>
    <row r="233" spans="1:16">
      <c r="D233" s="151" t="str">
        <f t="shared" ref="D233:E233" si="87">+C204</f>
        <v>S4</v>
      </c>
      <c r="E233" s="151" t="str">
        <f t="shared" si="87"/>
        <v>PZ9</v>
      </c>
      <c r="F233" s="151">
        <f>+E53</f>
        <v>10</v>
      </c>
      <c r="G233" s="152">
        <f t="shared" si="81"/>
        <v>0.2732</v>
      </c>
      <c r="H233" s="152">
        <f t="shared" si="82"/>
        <v>35.138974713620094</v>
      </c>
      <c r="I233" s="152">
        <f t="shared" si="83"/>
        <v>81.882013482485448</v>
      </c>
      <c r="J233" s="152" t="str">
        <f t="shared" si="84"/>
        <v>OK</v>
      </c>
    </row>
    <row r="234" spans="1:16">
      <c r="D234" s="151" t="str">
        <f t="shared" ref="D234:E234" si="88">+C205</f>
        <v>S5</v>
      </c>
      <c r="E234" s="151" t="str">
        <f t="shared" si="88"/>
        <v>PZ10</v>
      </c>
      <c r="F234" s="151">
        <f>+E54</f>
        <v>10</v>
      </c>
      <c r="G234" s="152">
        <f t="shared" si="81"/>
        <v>0.2732</v>
      </c>
      <c r="H234" s="152">
        <f t="shared" si="82"/>
        <v>33.703098432375917</v>
      </c>
      <c r="I234" s="152">
        <f t="shared" si="83"/>
        <v>78.536086574309465</v>
      </c>
      <c r="J234" s="152" t="str">
        <f t="shared" si="84"/>
        <v>OK</v>
      </c>
    </row>
    <row r="236" spans="1:16" s="74" customFormat="1">
      <c r="A236" s="64" t="s">
        <v>240</v>
      </c>
    </row>
    <row r="237" spans="1:16" s="74" customFormat="1">
      <c r="A237" s="65"/>
    </row>
    <row r="238" spans="1:16" s="74" customFormat="1" ht="35.25" customHeight="1">
      <c r="A238" s="292" t="s">
        <v>379</v>
      </c>
      <c r="B238" s="292"/>
      <c r="C238" s="292"/>
      <c r="D238" s="292"/>
      <c r="E238" s="292"/>
      <c r="F238" s="292"/>
      <c r="G238" s="292"/>
      <c r="H238" s="292"/>
      <c r="I238" s="292"/>
      <c r="J238" s="292"/>
      <c r="K238" s="292"/>
      <c r="L238" s="292"/>
      <c r="M238" s="292"/>
    </row>
    <row r="239" spans="1:16">
      <c r="J239" s="92"/>
      <c r="K239" s="92"/>
      <c r="L239" s="92"/>
      <c r="M239" s="92"/>
    </row>
    <row r="240" spans="1:16">
      <c r="D240" s="286" t="s">
        <v>128</v>
      </c>
      <c r="E240" s="286" t="s">
        <v>129</v>
      </c>
      <c r="F240" s="286" t="s">
        <v>134</v>
      </c>
      <c r="G240" s="274" t="s">
        <v>399</v>
      </c>
      <c r="H240" s="299" t="s">
        <v>135</v>
      </c>
      <c r="I240" s="286" t="s">
        <v>131</v>
      </c>
      <c r="J240" s="92"/>
      <c r="K240" s="92"/>
      <c r="L240" s="92"/>
      <c r="M240" s="92"/>
    </row>
    <row r="241" spans="1:15">
      <c r="D241" s="287"/>
      <c r="E241" s="287"/>
      <c r="F241" s="287"/>
      <c r="G241" s="275"/>
      <c r="H241" s="300"/>
      <c r="I241" s="287"/>
      <c r="J241" s="92"/>
      <c r="K241" s="92"/>
      <c r="L241" s="92"/>
      <c r="M241" s="92"/>
    </row>
    <row r="242" spans="1:15">
      <c r="D242" s="90" t="str">
        <f t="shared" ref="D242:E248" si="89">+B78</f>
        <v>PZ6</v>
      </c>
      <c r="E242" s="90" t="str">
        <f t="shared" si="89"/>
        <v>PZ4</v>
      </c>
      <c r="F242" s="21">
        <f t="shared" ref="F242:F248" si="90">+G78</f>
        <v>2.2799999999999998</v>
      </c>
      <c r="G242" s="21">
        <f t="shared" ref="G242:G248" si="91">+P42</f>
        <v>3.11</v>
      </c>
      <c r="H242" s="153" t="str">
        <f>+IF(G242&gt;0.5,"NO","SI")</f>
        <v>NO</v>
      </c>
      <c r="I242" s="107" t="str">
        <f>IF(G242&lt;=1,"NO",IF(G242&lt;=2,"E1A",IF(G242&lt;=3,"E1B",IF(G242&lt;=3,"E1",IF(G242&lt;=$O$243,"E2","Consultar")))))</f>
        <v>E2</v>
      </c>
    </row>
    <row r="243" spans="1:15">
      <c r="D243" s="90" t="str">
        <f t="shared" si="89"/>
        <v>PZ4</v>
      </c>
      <c r="E243" s="90" t="str">
        <f t="shared" si="89"/>
        <v>PZ11-6</v>
      </c>
      <c r="F243" s="21">
        <f t="shared" si="90"/>
        <v>1.97</v>
      </c>
      <c r="G243" s="21">
        <f t="shared" si="91"/>
        <v>2.8000000000000003</v>
      </c>
      <c r="H243" s="153" t="str">
        <f t="shared" ref="H243:H248" si="92">+IF(G243&gt;0.5,"NO","SI")</f>
        <v>NO</v>
      </c>
      <c r="I243" s="107" t="s">
        <v>380</v>
      </c>
      <c r="O243" s="17" t="s">
        <v>136</v>
      </c>
    </row>
    <row r="244" spans="1:15">
      <c r="D244" s="90" t="str">
        <f t="shared" si="89"/>
        <v>PZ11-6</v>
      </c>
      <c r="E244" s="90" t="str">
        <f t="shared" si="89"/>
        <v>PZ7</v>
      </c>
      <c r="F244" s="21">
        <f t="shared" si="90"/>
        <v>1.42</v>
      </c>
      <c r="G244" s="21">
        <f t="shared" si="91"/>
        <v>2.25</v>
      </c>
      <c r="H244" s="153" t="str">
        <f t="shared" si="92"/>
        <v>NO</v>
      </c>
      <c r="I244" s="248" t="s">
        <v>380</v>
      </c>
    </row>
    <row r="245" spans="1:15">
      <c r="D245" s="90" t="str">
        <f t="shared" si="89"/>
        <v>PZ7</v>
      </c>
      <c r="E245" s="90">
        <f t="shared" si="89"/>
        <v>117577</v>
      </c>
      <c r="F245" s="21">
        <f t="shared" si="90"/>
        <v>1.87</v>
      </c>
      <c r="G245" s="21">
        <f t="shared" si="91"/>
        <v>2.7</v>
      </c>
      <c r="H245" s="153" t="str">
        <f t="shared" si="92"/>
        <v>NO</v>
      </c>
      <c r="I245" s="248" t="s">
        <v>380</v>
      </c>
    </row>
    <row r="246" spans="1:15">
      <c r="D246" s="90" t="str">
        <f t="shared" si="89"/>
        <v>PZ8</v>
      </c>
      <c r="E246" s="90" t="str">
        <f t="shared" si="89"/>
        <v>PZ7</v>
      </c>
      <c r="F246" s="21">
        <f t="shared" si="90"/>
        <v>1.4</v>
      </c>
      <c r="G246" s="21">
        <f t="shared" si="91"/>
        <v>1.77</v>
      </c>
      <c r="H246" s="153" t="str">
        <f t="shared" si="92"/>
        <v>NO</v>
      </c>
      <c r="I246" s="248" t="s">
        <v>380</v>
      </c>
    </row>
    <row r="247" spans="1:15">
      <c r="D247" s="90" t="str">
        <f t="shared" si="89"/>
        <v>PZ9</v>
      </c>
      <c r="E247" s="90" t="str">
        <f t="shared" si="89"/>
        <v>PZ10</v>
      </c>
      <c r="F247" s="21">
        <f t="shared" si="90"/>
        <v>1</v>
      </c>
      <c r="G247" s="21">
        <f t="shared" si="91"/>
        <v>1.37</v>
      </c>
      <c r="H247" s="153" t="str">
        <f t="shared" si="92"/>
        <v>NO</v>
      </c>
      <c r="I247" s="248" t="s">
        <v>380</v>
      </c>
    </row>
    <row r="248" spans="1:15">
      <c r="D248" s="90" t="str">
        <f t="shared" si="89"/>
        <v>PZ10</v>
      </c>
      <c r="E248" s="90">
        <f t="shared" si="89"/>
        <v>117576</v>
      </c>
      <c r="F248" s="21">
        <f t="shared" si="90"/>
        <v>0.9</v>
      </c>
      <c r="G248" s="21">
        <f t="shared" si="91"/>
        <v>1.27</v>
      </c>
      <c r="H248" s="153" t="str">
        <f t="shared" si="92"/>
        <v>NO</v>
      </c>
      <c r="I248" s="248" t="s">
        <v>380</v>
      </c>
    </row>
    <row r="249" spans="1:15">
      <c r="D249" s="276" t="str">
        <f>+B85</f>
        <v>SUMIDEROS</v>
      </c>
      <c r="E249" s="277"/>
      <c r="F249" s="277"/>
      <c r="G249" s="277"/>
      <c r="H249" s="277"/>
      <c r="I249" s="278"/>
    </row>
    <row r="250" spans="1:15">
      <c r="D250" s="90" t="str">
        <f>+B86</f>
        <v>S1</v>
      </c>
      <c r="E250" s="90" t="str">
        <f>+C86</f>
        <v>PZ4</v>
      </c>
      <c r="F250" s="21">
        <f>+G86</f>
        <v>1.17</v>
      </c>
      <c r="G250" s="21">
        <f>+P50</f>
        <v>1.5432000000000001</v>
      </c>
      <c r="H250" s="153" t="str">
        <f t="shared" ref="H250:H254" si="93">+IF(G250&gt;0.5,"NO","SI")</f>
        <v>NO</v>
      </c>
      <c r="I250" s="248" t="s">
        <v>380</v>
      </c>
    </row>
    <row r="251" spans="1:15">
      <c r="D251" s="90" t="str">
        <f t="shared" ref="D251:E251" si="94">+B87</f>
        <v>S2</v>
      </c>
      <c r="E251" s="90">
        <f t="shared" si="94"/>
        <v>117578</v>
      </c>
      <c r="F251" s="21">
        <f>+G87</f>
        <v>1.19</v>
      </c>
      <c r="G251" s="21">
        <f>+P51</f>
        <v>1.5632000000000001</v>
      </c>
      <c r="H251" s="153" t="str">
        <f t="shared" si="93"/>
        <v>NO</v>
      </c>
      <c r="I251" s="248" t="s">
        <v>380</v>
      </c>
    </row>
    <row r="252" spans="1:15">
      <c r="D252" s="90" t="str">
        <f t="shared" ref="D252:E252" si="95">+B88</f>
        <v>S3</v>
      </c>
      <c r="E252" s="90" t="str">
        <f t="shared" si="95"/>
        <v>PZ9</v>
      </c>
      <c r="F252" s="21">
        <f>+G88</f>
        <v>1.07</v>
      </c>
      <c r="G252" s="21">
        <f>+P52</f>
        <v>1.4432</v>
      </c>
      <c r="H252" s="153" t="str">
        <f t="shared" si="93"/>
        <v>NO</v>
      </c>
      <c r="I252" s="248" t="s">
        <v>380</v>
      </c>
    </row>
    <row r="253" spans="1:15">
      <c r="D253" s="90" t="str">
        <f t="shared" ref="D253:E253" si="96">+B89</f>
        <v>S4</v>
      </c>
      <c r="E253" s="90" t="str">
        <f t="shared" si="96"/>
        <v>PZ9</v>
      </c>
      <c r="F253" s="21">
        <f>+G89</f>
        <v>1.07</v>
      </c>
      <c r="G253" s="21">
        <f>+P53</f>
        <v>1.4432</v>
      </c>
      <c r="H253" s="153" t="str">
        <f t="shared" si="93"/>
        <v>NO</v>
      </c>
      <c r="I253" s="248" t="s">
        <v>380</v>
      </c>
    </row>
    <row r="254" spans="1:15">
      <c r="D254" s="90" t="str">
        <f t="shared" ref="D254:E254" si="97">+B90</f>
        <v>S5</v>
      </c>
      <c r="E254" s="90" t="str">
        <f t="shared" si="97"/>
        <v>PZ10</v>
      </c>
      <c r="F254" s="21">
        <f>+G90</f>
        <v>1.19</v>
      </c>
      <c r="G254" s="21">
        <f>+P54</f>
        <v>1.5632000000000001</v>
      </c>
      <c r="H254" s="153" t="str">
        <f t="shared" si="93"/>
        <v>NO</v>
      </c>
      <c r="I254" s="248" t="s">
        <v>380</v>
      </c>
    </row>
    <row r="256" spans="1:15">
      <c r="A256" s="64" t="s">
        <v>398</v>
      </c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</row>
    <row r="257" spans="1:13">
      <c r="A257" s="65"/>
      <c r="B257" s="74"/>
      <c r="C257" s="74"/>
      <c r="D257" s="74"/>
      <c r="E257" s="74"/>
      <c r="F257" s="74"/>
      <c r="G257" s="74"/>
      <c r="H257" s="74"/>
      <c r="I257" s="74"/>
      <c r="J257" s="74"/>
      <c r="K257" s="74"/>
      <c r="L257" s="74"/>
      <c r="M257" s="74"/>
    </row>
    <row r="258" spans="1:13">
      <c r="A258" s="17" t="s">
        <v>392</v>
      </c>
    </row>
    <row r="283" spans="2:12">
      <c r="B283" s="279" t="s">
        <v>128</v>
      </c>
      <c r="C283" s="279" t="s">
        <v>129</v>
      </c>
      <c r="D283" s="274" t="s">
        <v>48</v>
      </c>
      <c r="E283" s="274" t="s">
        <v>16</v>
      </c>
      <c r="F283" s="274" t="s">
        <v>134</v>
      </c>
      <c r="G283" s="274" t="s">
        <v>391</v>
      </c>
      <c r="H283" s="279" t="s">
        <v>393</v>
      </c>
      <c r="I283" s="279" t="s">
        <v>394</v>
      </c>
      <c r="J283" s="279" t="s">
        <v>395</v>
      </c>
      <c r="K283" s="279" t="s">
        <v>396</v>
      </c>
      <c r="L283" s="279" t="s">
        <v>397</v>
      </c>
    </row>
    <row r="284" spans="2:12">
      <c r="B284" s="279"/>
      <c r="C284" s="279"/>
      <c r="D284" s="275"/>
      <c r="E284" s="275"/>
      <c r="F284" s="275"/>
      <c r="G284" s="275"/>
      <c r="H284" s="279"/>
      <c r="I284" s="279"/>
      <c r="J284" s="279"/>
      <c r="K284" s="279"/>
      <c r="L284" s="279"/>
    </row>
    <row r="285" spans="2:12">
      <c r="B285" s="90" t="str">
        <f t="shared" ref="B285:C291" si="98">+D242</f>
        <v>PZ6</v>
      </c>
      <c r="C285" s="90" t="str">
        <f t="shared" si="98"/>
        <v>PZ4</v>
      </c>
      <c r="D285" s="21">
        <f>+G222</f>
        <v>0.73</v>
      </c>
      <c r="E285" s="21">
        <f>+F128</f>
        <v>1.325</v>
      </c>
      <c r="F285" s="21">
        <f>+F242</f>
        <v>2.2799999999999998</v>
      </c>
      <c r="G285" s="21">
        <f>+G242</f>
        <v>3.11</v>
      </c>
      <c r="H285" s="21">
        <v>0.15</v>
      </c>
      <c r="I285" s="21">
        <f>0.6*D285</f>
        <v>0.438</v>
      </c>
      <c r="J285" s="21">
        <f>(0.4*D285)+0.3</f>
        <v>0.59199999999999997</v>
      </c>
      <c r="K285" s="21">
        <f>+G285-J285-I285-H285-L285</f>
        <v>1.4299999999999997</v>
      </c>
      <c r="L285" s="21">
        <v>0.5</v>
      </c>
    </row>
    <row r="286" spans="2:12">
      <c r="B286" s="90" t="str">
        <f t="shared" si="98"/>
        <v>PZ4</v>
      </c>
      <c r="C286" s="90" t="str">
        <f t="shared" si="98"/>
        <v>PZ11-6</v>
      </c>
      <c r="D286" s="21">
        <f t="shared" ref="D286:D297" si="99">+G223</f>
        <v>0.73</v>
      </c>
      <c r="E286" s="21">
        <f t="shared" ref="E286:E297" si="100">+F129</f>
        <v>1.325</v>
      </c>
      <c r="F286" s="21">
        <f t="shared" ref="F286:G286" si="101">+F243</f>
        <v>1.97</v>
      </c>
      <c r="G286" s="21">
        <f t="shared" si="101"/>
        <v>2.8000000000000003</v>
      </c>
      <c r="H286" s="21">
        <v>0.15</v>
      </c>
      <c r="I286" s="21">
        <f t="shared" ref="I286:I291" si="102">0.6*D286</f>
        <v>0.438</v>
      </c>
      <c r="J286" s="21">
        <f t="shared" ref="J286:J291" si="103">(0.4*D286)+0.3</f>
        <v>0.59199999999999997</v>
      </c>
      <c r="K286" s="21">
        <f t="shared" ref="K286:K291" si="104">+G286-J286-I286-H286-L286</f>
        <v>1.1200000000000003</v>
      </c>
      <c r="L286" s="21">
        <v>0.5</v>
      </c>
    </row>
    <row r="287" spans="2:12">
      <c r="B287" s="90" t="str">
        <f t="shared" si="98"/>
        <v>PZ11-6</v>
      </c>
      <c r="C287" s="90" t="str">
        <f t="shared" si="98"/>
        <v>PZ7</v>
      </c>
      <c r="D287" s="21">
        <f t="shared" si="99"/>
        <v>0.73</v>
      </c>
      <c r="E287" s="21">
        <f t="shared" si="100"/>
        <v>1.325</v>
      </c>
      <c r="F287" s="21">
        <f t="shared" ref="F287:G287" si="105">+F244</f>
        <v>1.42</v>
      </c>
      <c r="G287" s="21">
        <f t="shared" si="105"/>
        <v>2.25</v>
      </c>
      <c r="H287" s="21">
        <v>0.15</v>
      </c>
      <c r="I287" s="21">
        <f t="shared" si="102"/>
        <v>0.438</v>
      </c>
      <c r="J287" s="21">
        <f t="shared" si="103"/>
        <v>0.59199999999999997</v>
      </c>
      <c r="K287" s="21">
        <f t="shared" si="104"/>
        <v>0.57000000000000006</v>
      </c>
      <c r="L287" s="21">
        <v>0.5</v>
      </c>
    </row>
    <row r="288" spans="2:12">
      <c r="B288" s="90" t="str">
        <f t="shared" si="98"/>
        <v>PZ7</v>
      </c>
      <c r="C288" s="90">
        <f t="shared" si="98"/>
        <v>117577</v>
      </c>
      <c r="D288" s="21">
        <f t="shared" si="99"/>
        <v>0.73</v>
      </c>
      <c r="E288" s="21">
        <f t="shared" si="100"/>
        <v>1.325</v>
      </c>
      <c r="F288" s="21">
        <f t="shared" ref="F288:G288" si="106">+F245</f>
        <v>1.87</v>
      </c>
      <c r="G288" s="21">
        <f t="shared" si="106"/>
        <v>2.7</v>
      </c>
      <c r="H288" s="21">
        <v>0.15</v>
      </c>
      <c r="I288" s="21">
        <f t="shared" si="102"/>
        <v>0.438</v>
      </c>
      <c r="J288" s="21">
        <f t="shared" si="103"/>
        <v>0.59199999999999997</v>
      </c>
      <c r="K288" s="21">
        <f t="shared" si="104"/>
        <v>1.0200000000000002</v>
      </c>
      <c r="L288" s="21">
        <v>0.5</v>
      </c>
    </row>
    <row r="289" spans="2:12">
      <c r="B289" s="90" t="str">
        <f t="shared" si="98"/>
        <v>PZ8</v>
      </c>
      <c r="C289" s="90" t="str">
        <f t="shared" si="98"/>
        <v>PZ7</v>
      </c>
      <c r="D289" s="21">
        <f t="shared" si="99"/>
        <v>0.27</v>
      </c>
      <c r="E289" s="21">
        <f t="shared" si="100"/>
        <v>1</v>
      </c>
      <c r="F289" s="21">
        <f t="shared" ref="F289:G289" si="107">+F246</f>
        <v>1.4</v>
      </c>
      <c r="G289" s="21">
        <f t="shared" si="107"/>
        <v>1.77</v>
      </c>
      <c r="H289" s="21">
        <v>0.1</v>
      </c>
      <c r="I289" s="21">
        <f t="shared" si="102"/>
        <v>0.16200000000000001</v>
      </c>
      <c r="J289" s="21">
        <f t="shared" si="103"/>
        <v>0.40800000000000003</v>
      </c>
      <c r="K289" s="21">
        <f t="shared" si="104"/>
        <v>0.60000000000000009</v>
      </c>
      <c r="L289" s="21">
        <v>0.5</v>
      </c>
    </row>
    <row r="290" spans="2:12">
      <c r="B290" s="90" t="str">
        <f t="shared" si="98"/>
        <v>PZ9</v>
      </c>
      <c r="C290" s="90" t="str">
        <f t="shared" si="98"/>
        <v>PZ10</v>
      </c>
      <c r="D290" s="21">
        <f t="shared" si="99"/>
        <v>0.27</v>
      </c>
      <c r="E290" s="21">
        <f t="shared" si="100"/>
        <v>1</v>
      </c>
      <c r="F290" s="21">
        <f t="shared" ref="F290:G290" si="108">+F247</f>
        <v>1</v>
      </c>
      <c r="G290" s="21">
        <f t="shared" si="108"/>
        <v>1.37</v>
      </c>
      <c r="H290" s="21">
        <v>0.1</v>
      </c>
      <c r="I290" s="21">
        <f t="shared" si="102"/>
        <v>0.16200000000000001</v>
      </c>
      <c r="J290" s="21">
        <f t="shared" si="103"/>
        <v>0.40800000000000003</v>
      </c>
      <c r="K290" s="21">
        <f t="shared" si="104"/>
        <v>0.20000000000000007</v>
      </c>
      <c r="L290" s="21">
        <v>0.5</v>
      </c>
    </row>
    <row r="291" spans="2:12">
      <c r="B291" s="90" t="str">
        <f t="shared" si="98"/>
        <v>PZ10</v>
      </c>
      <c r="C291" s="90">
        <f t="shared" si="98"/>
        <v>117576</v>
      </c>
      <c r="D291" s="21">
        <f t="shared" si="99"/>
        <v>0.27</v>
      </c>
      <c r="E291" s="21">
        <f t="shared" si="100"/>
        <v>1</v>
      </c>
      <c r="F291" s="21">
        <f t="shared" ref="F291:G291" si="109">+F248</f>
        <v>0.9</v>
      </c>
      <c r="G291" s="21">
        <f t="shared" si="109"/>
        <v>1.27</v>
      </c>
      <c r="H291" s="21">
        <v>0.1</v>
      </c>
      <c r="I291" s="21">
        <f t="shared" si="102"/>
        <v>0.16200000000000001</v>
      </c>
      <c r="J291" s="21">
        <f t="shared" si="103"/>
        <v>0.40800000000000003</v>
      </c>
      <c r="K291" s="21">
        <f t="shared" si="104"/>
        <v>9.9999999999999978E-2</v>
      </c>
      <c r="L291" s="21">
        <v>0.5</v>
      </c>
    </row>
    <row r="292" spans="2:12">
      <c r="B292" s="276" t="str">
        <f t="shared" ref="B292:B297" si="110">+D249</f>
        <v>SUMIDEROS</v>
      </c>
      <c r="C292" s="277"/>
      <c r="D292" s="277"/>
      <c r="E292" s="277"/>
      <c r="F292" s="277"/>
      <c r="G292" s="277"/>
      <c r="H292" s="277"/>
      <c r="I292" s="277"/>
      <c r="J292" s="277"/>
      <c r="K292" s="277"/>
      <c r="L292" s="278"/>
    </row>
    <row r="293" spans="2:12">
      <c r="B293" s="90" t="str">
        <f t="shared" si="110"/>
        <v>S1</v>
      </c>
      <c r="C293" s="90" t="str">
        <f>+E250</f>
        <v>PZ4</v>
      </c>
      <c r="D293" s="21">
        <f t="shared" si="99"/>
        <v>0.2732</v>
      </c>
      <c r="E293" s="21">
        <f t="shared" si="100"/>
        <v>1</v>
      </c>
      <c r="F293" s="21">
        <f t="shared" ref="F293:G293" si="111">+F250</f>
        <v>1.17</v>
      </c>
      <c r="G293" s="21">
        <f t="shared" si="111"/>
        <v>1.5432000000000001</v>
      </c>
      <c r="H293" s="21">
        <v>0.1</v>
      </c>
      <c r="I293" s="21">
        <f>0.6*D293</f>
        <v>0.16391999999999998</v>
      </c>
      <c r="J293" s="21">
        <f>(0.4*D293)+0.3</f>
        <v>0.40927999999999998</v>
      </c>
      <c r="K293" s="21">
        <f>+G293-J293-I293-H293-L293</f>
        <v>0.37000000000000033</v>
      </c>
      <c r="L293" s="21">
        <v>0.5</v>
      </c>
    </row>
    <row r="294" spans="2:12">
      <c r="B294" s="90" t="str">
        <f t="shared" si="110"/>
        <v>S2</v>
      </c>
      <c r="C294" s="90">
        <f>+E251</f>
        <v>117578</v>
      </c>
      <c r="D294" s="21">
        <f t="shared" si="99"/>
        <v>0.2732</v>
      </c>
      <c r="E294" s="21">
        <f t="shared" si="100"/>
        <v>1</v>
      </c>
      <c r="F294" s="21">
        <f t="shared" ref="F294:G294" si="112">+F251</f>
        <v>1.19</v>
      </c>
      <c r="G294" s="21">
        <f t="shared" si="112"/>
        <v>1.5632000000000001</v>
      </c>
      <c r="H294" s="21">
        <v>0.1</v>
      </c>
      <c r="I294" s="21">
        <f t="shared" ref="I294:I297" si="113">0.6*D294</f>
        <v>0.16391999999999998</v>
      </c>
      <c r="J294" s="21">
        <f t="shared" ref="J294:J297" si="114">(0.4*D294)+0.3</f>
        <v>0.40927999999999998</v>
      </c>
      <c r="K294" s="21">
        <f t="shared" ref="K294:K297" si="115">+G294-J294-I294-H294-L294</f>
        <v>0.39000000000000035</v>
      </c>
      <c r="L294" s="21">
        <v>0.5</v>
      </c>
    </row>
    <row r="295" spans="2:12">
      <c r="B295" s="90" t="str">
        <f t="shared" si="110"/>
        <v>S3</v>
      </c>
      <c r="C295" s="90" t="str">
        <f>+E252</f>
        <v>PZ9</v>
      </c>
      <c r="D295" s="21">
        <f t="shared" si="99"/>
        <v>0.2732</v>
      </c>
      <c r="E295" s="21">
        <f t="shared" si="100"/>
        <v>1</v>
      </c>
      <c r="F295" s="21">
        <f t="shared" ref="F295:G295" si="116">+F252</f>
        <v>1.07</v>
      </c>
      <c r="G295" s="21">
        <f t="shared" si="116"/>
        <v>1.4432</v>
      </c>
      <c r="H295" s="21">
        <v>0.1</v>
      </c>
      <c r="I295" s="21">
        <f t="shared" si="113"/>
        <v>0.16391999999999998</v>
      </c>
      <c r="J295" s="21">
        <f t="shared" si="114"/>
        <v>0.40927999999999998</v>
      </c>
      <c r="K295" s="21">
        <f t="shared" si="115"/>
        <v>0.27000000000000024</v>
      </c>
      <c r="L295" s="21">
        <v>0.5</v>
      </c>
    </row>
    <row r="296" spans="2:12">
      <c r="B296" s="90" t="str">
        <f t="shared" si="110"/>
        <v>S4</v>
      </c>
      <c r="C296" s="90" t="str">
        <f>+E253</f>
        <v>PZ9</v>
      </c>
      <c r="D296" s="21">
        <f t="shared" si="99"/>
        <v>0.2732</v>
      </c>
      <c r="E296" s="21">
        <f t="shared" si="100"/>
        <v>1</v>
      </c>
      <c r="F296" s="21">
        <f t="shared" ref="F296:G296" si="117">+F253</f>
        <v>1.07</v>
      </c>
      <c r="G296" s="21">
        <f t="shared" si="117"/>
        <v>1.4432</v>
      </c>
      <c r="H296" s="21">
        <v>0.1</v>
      </c>
      <c r="I296" s="21">
        <f t="shared" si="113"/>
        <v>0.16391999999999998</v>
      </c>
      <c r="J296" s="21">
        <f t="shared" si="114"/>
        <v>0.40927999999999998</v>
      </c>
      <c r="K296" s="21">
        <f t="shared" si="115"/>
        <v>0.27000000000000024</v>
      </c>
      <c r="L296" s="21">
        <v>0.5</v>
      </c>
    </row>
    <row r="297" spans="2:12">
      <c r="B297" s="90" t="str">
        <f t="shared" si="110"/>
        <v>S5</v>
      </c>
      <c r="C297" s="90" t="str">
        <f>+E254</f>
        <v>PZ10</v>
      </c>
      <c r="D297" s="21">
        <f t="shared" si="99"/>
        <v>0.2732</v>
      </c>
      <c r="E297" s="21">
        <f t="shared" si="100"/>
        <v>1</v>
      </c>
      <c r="F297" s="21">
        <f t="shared" ref="F297:G297" si="118">+F254</f>
        <v>1.19</v>
      </c>
      <c r="G297" s="21">
        <f t="shared" si="118"/>
        <v>1.5632000000000001</v>
      </c>
      <c r="H297" s="21">
        <v>0.1</v>
      </c>
      <c r="I297" s="21">
        <f t="shared" si="113"/>
        <v>0.16391999999999998</v>
      </c>
      <c r="J297" s="21">
        <f t="shared" si="114"/>
        <v>0.40927999999999998</v>
      </c>
      <c r="K297" s="21">
        <f t="shared" si="115"/>
        <v>0.39000000000000035</v>
      </c>
      <c r="L297" s="21">
        <v>0.5</v>
      </c>
    </row>
  </sheetData>
  <autoFilter ref="D283:J297" xr:uid="{00000000-0001-0000-0400-000000000000}"/>
  <mergeCells count="55">
    <mergeCell ref="AB144:AG144"/>
    <mergeCell ref="AB149:AC149"/>
    <mergeCell ref="AD149:AE149"/>
    <mergeCell ref="AF149:AG149"/>
    <mergeCell ref="A2:M2"/>
    <mergeCell ref="A3:M3"/>
    <mergeCell ref="A4:M4"/>
    <mergeCell ref="B49:L49"/>
    <mergeCell ref="U144:Z144"/>
    <mergeCell ref="S107:S108"/>
    <mergeCell ref="T107:AA107"/>
    <mergeCell ref="R149:S149"/>
    <mergeCell ref="P149:Q149"/>
    <mergeCell ref="N144:S144"/>
    <mergeCell ref="U149:V149"/>
    <mergeCell ref="W149:X149"/>
    <mergeCell ref="D240:D241"/>
    <mergeCell ref="G240:G241"/>
    <mergeCell ref="H240:H241"/>
    <mergeCell ref="I240:I241"/>
    <mergeCell ref="N149:O149"/>
    <mergeCell ref="Y149:Z149"/>
    <mergeCell ref="E169:E170"/>
    <mergeCell ref="F169:F170"/>
    <mergeCell ref="C73:C75"/>
    <mergeCell ref="A94:M95"/>
    <mergeCell ref="A146:M147"/>
    <mergeCell ref="D249:I249"/>
    <mergeCell ref="B85:L85"/>
    <mergeCell ref="B135:L135"/>
    <mergeCell ref="B178:L178"/>
    <mergeCell ref="C200:K200"/>
    <mergeCell ref="E240:E241"/>
    <mergeCell ref="F240:F241"/>
    <mergeCell ref="A142:M142"/>
    <mergeCell ref="I169:I170"/>
    <mergeCell ref="J169:J170"/>
    <mergeCell ref="K169:K170"/>
    <mergeCell ref="B169:B170"/>
    <mergeCell ref="C169:C170"/>
    <mergeCell ref="D229:J229"/>
    <mergeCell ref="A238:M238"/>
    <mergeCell ref="D169:D170"/>
    <mergeCell ref="G283:G284"/>
    <mergeCell ref="F283:F284"/>
    <mergeCell ref="E283:E284"/>
    <mergeCell ref="D283:D284"/>
    <mergeCell ref="B292:L292"/>
    <mergeCell ref="K283:K284"/>
    <mergeCell ref="L283:L284"/>
    <mergeCell ref="B283:B284"/>
    <mergeCell ref="C283:C284"/>
    <mergeCell ref="H283:H284"/>
    <mergeCell ref="I283:I284"/>
    <mergeCell ref="J283:J284"/>
  </mergeCells>
  <phoneticPr fontId="4" type="noConversion"/>
  <conditionalFormatting sqref="L136:L140 L128:L134">
    <cfRule type="cellIs" dxfId="14" priority="4" stopIfTrue="1" operator="greaterThanOrEqual">
      <formula>5</formula>
    </cfRule>
  </conditionalFormatting>
  <printOptions horizontalCentered="1"/>
  <pageMargins left="0.78740157480314965" right="0.78740157480314965" top="1.1811023622047245" bottom="1.1811023622047245" header="0.78740157480314965" footer="0.78740157480314965"/>
  <pageSetup scale="59" fitToHeight="0" orientation="portrait" r:id="rId1"/>
  <rowBreaks count="3" manualBreakCount="3">
    <brk id="143" max="12" man="1"/>
    <brk id="206" max="12" man="1"/>
    <brk id="255" max="1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B8C34-4BF7-4CDA-9A14-7760F002AF40}">
  <sheetPr>
    <tabColor theme="7" tint="0.59999389629810485"/>
    <pageSetUpPr fitToPage="1"/>
  </sheetPr>
  <dimension ref="A1:J57"/>
  <sheetViews>
    <sheetView view="pageBreakPreview" topLeftCell="A37" zoomScaleNormal="100" zoomScaleSheetLayoutView="100" workbookViewId="0">
      <selection activeCell="A27" sqref="A27"/>
    </sheetView>
  </sheetViews>
  <sheetFormatPr baseColWidth="10" defaultColWidth="11.42578125" defaultRowHeight="12"/>
  <cols>
    <col min="1" max="1" width="11.42578125" style="1"/>
    <col min="2" max="2" width="17" style="1" customWidth="1"/>
    <col min="3" max="3" width="14.28515625" style="1" customWidth="1"/>
    <col min="4" max="6" width="11.42578125" style="1"/>
    <col min="7" max="7" width="12.85546875" style="1" bestFit="1" customWidth="1"/>
    <col min="8" max="16384" width="11.42578125" style="1"/>
  </cols>
  <sheetData>
    <row r="1" spans="1:10">
      <c r="A1" s="98"/>
      <c r="B1" s="98"/>
      <c r="C1" s="98"/>
      <c r="D1" s="98"/>
      <c r="E1" s="98"/>
      <c r="F1" s="98"/>
      <c r="G1" s="12"/>
    </row>
    <row r="2" spans="1:10">
      <c r="A2" s="265" t="s">
        <v>369</v>
      </c>
      <c r="B2" s="265"/>
      <c r="C2" s="265"/>
      <c r="D2" s="265"/>
      <c r="E2" s="265"/>
      <c r="F2" s="265"/>
      <c r="G2" s="265"/>
      <c r="H2" s="2"/>
    </row>
    <row r="3" spans="1:10">
      <c r="A3" s="266" t="s">
        <v>382</v>
      </c>
      <c r="B3" s="266"/>
      <c r="C3" s="266"/>
      <c r="D3" s="266"/>
      <c r="E3" s="266"/>
      <c r="F3" s="266"/>
      <c r="G3" s="266"/>
    </row>
    <row r="4" spans="1:10">
      <c r="A4" s="267" t="s">
        <v>237</v>
      </c>
      <c r="B4" s="267"/>
      <c r="C4" s="267"/>
      <c r="D4" s="267"/>
      <c r="E4" s="267"/>
      <c r="F4" s="267"/>
      <c r="G4" s="267"/>
    </row>
    <row r="5" spans="1:10" ht="8.25" customHeight="1">
      <c r="A5" s="234"/>
      <c r="B5" s="234"/>
      <c r="C5" s="234"/>
      <c r="D5" s="234"/>
      <c r="E5" s="234"/>
      <c r="F5" s="234"/>
      <c r="G5" s="12"/>
    </row>
    <row r="6" spans="1:10">
      <c r="A6" s="109" t="s">
        <v>79</v>
      </c>
      <c r="B6" s="12"/>
      <c r="C6" s="12"/>
      <c r="D6" s="12"/>
      <c r="E6" s="12"/>
      <c r="F6" s="12"/>
      <c r="G6" s="98"/>
    </row>
    <row r="7" spans="1:10">
      <c r="A7" s="109"/>
      <c r="B7" s="12"/>
      <c r="C7" s="12"/>
      <c r="D7" s="12"/>
      <c r="E7" s="12"/>
      <c r="F7" s="12"/>
      <c r="G7" s="98"/>
    </row>
    <row r="8" spans="1:10">
      <c r="A8" s="99" t="s">
        <v>133</v>
      </c>
      <c r="B8" s="103"/>
      <c r="C8" s="255" t="s">
        <v>370</v>
      </c>
      <c r="D8" s="12"/>
      <c r="E8" s="12"/>
      <c r="F8" s="12"/>
      <c r="G8" s="98"/>
    </row>
    <row r="9" spans="1:10">
      <c r="A9" s="99" t="s">
        <v>358</v>
      </c>
      <c r="B9" s="103"/>
      <c r="C9" s="104">
        <v>1.37</v>
      </c>
      <c r="D9" s="12"/>
      <c r="E9" s="12"/>
      <c r="F9" s="12"/>
      <c r="G9" s="98"/>
      <c r="H9" s="1" t="s">
        <v>355</v>
      </c>
      <c r="I9" s="1">
        <v>1.37</v>
      </c>
      <c r="J9" s="1" t="s">
        <v>87</v>
      </c>
    </row>
    <row r="10" spans="1:10">
      <c r="A10" s="99"/>
      <c r="B10" s="103"/>
      <c r="C10" s="104"/>
      <c r="D10" s="12"/>
      <c r="E10" s="12"/>
      <c r="F10" s="12"/>
      <c r="G10" s="98"/>
      <c r="H10" s="3" t="s">
        <v>356</v>
      </c>
      <c r="I10" s="1">
        <v>3.97</v>
      </c>
      <c r="J10" s="1" t="s">
        <v>87</v>
      </c>
    </row>
    <row r="11" spans="1:10">
      <c r="A11" s="99"/>
      <c r="B11" s="103"/>
      <c r="C11" s="104"/>
      <c r="D11" s="12"/>
      <c r="E11" s="12"/>
      <c r="F11" s="12"/>
      <c r="G11" s="98"/>
      <c r="H11" s="3" t="s">
        <v>360</v>
      </c>
      <c r="I11" s="1">
        <v>19.399999999999999</v>
      </c>
      <c r="J11" s="1" t="s">
        <v>361</v>
      </c>
    </row>
    <row r="12" spans="1:10">
      <c r="A12" s="99"/>
      <c r="B12" s="103"/>
      <c r="C12" s="104"/>
      <c r="D12" s="12"/>
      <c r="E12" s="12"/>
      <c r="F12" s="12"/>
      <c r="G12" s="98"/>
    </row>
    <row r="13" spans="1:10">
      <c r="A13" s="99"/>
      <c r="B13" s="103"/>
      <c r="C13" s="104"/>
      <c r="D13" s="12"/>
      <c r="E13" s="12"/>
      <c r="F13" s="12"/>
      <c r="G13" s="98"/>
    </row>
    <row r="14" spans="1:10">
      <c r="A14" s="99"/>
      <c r="B14" s="103"/>
      <c r="C14" s="104"/>
      <c r="D14" s="12"/>
      <c r="E14" s="12"/>
      <c r="F14" s="12"/>
      <c r="G14" s="98"/>
    </row>
    <row r="15" spans="1:10">
      <c r="A15" s="99"/>
      <c r="B15" s="103"/>
      <c r="C15" s="104"/>
      <c r="D15" s="12"/>
      <c r="E15" s="12"/>
      <c r="F15" s="12"/>
      <c r="G15" s="98"/>
    </row>
    <row r="16" spans="1:10" ht="24.75" customHeight="1">
      <c r="A16" s="307" t="s">
        <v>357</v>
      </c>
      <c r="B16" s="307"/>
      <c r="C16" s="34">
        <v>61.7</v>
      </c>
      <c r="D16" s="233"/>
      <c r="E16" s="99"/>
      <c r="F16" s="99"/>
      <c r="G16" s="99"/>
    </row>
    <row r="17" spans="1:8">
      <c r="A17" s="308" t="s">
        <v>359</v>
      </c>
      <c r="B17" s="308"/>
      <c r="C17" s="34">
        <v>5.7</v>
      </c>
      <c r="D17" s="73"/>
      <c r="E17" s="102"/>
      <c r="F17" s="12"/>
      <c r="G17" s="12"/>
    </row>
    <row r="18" spans="1:8" ht="13.5">
      <c r="A18" s="308" t="s">
        <v>365</v>
      </c>
      <c r="B18" s="308"/>
      <c r="C18" s="70">
        <f>+I11*I9</f>
        <v>26.577999999999999</v>
      </c>
      <c r="D18" s="73"/>
      <c r="E18" s="102"/>
      <c r="F18" s="12"/>
      <c r="G18" s="12"/>
      <c r="H18" s="3"/>
    </row>
    <row r="19" spans="1:8">
      <c r="A19" s="308" t="s">
        <v>362</v>
      </c>
      <c r="B19" s="308"/>
      <c r="C19" s="34">
        <v>1</v>
      </c>
      <c r="D19" s="73" t="s">
        <v>364</v>
      </c>
      <c r="E19" s="102"/>
      <c r="F19" s="12"/>
      <c r="G19" s="12"/>
      <c r="H19" s="3"/>
    </row>
    <row r="20" spans="1:8">
      <c r="A20" s="308" t="s">
        <v>363</v>
      </c>
      <c r="B20" s="308"/>
      <c r="C20" s="34">
        <v>3</v>
      </c>
      <c r="D20" s="68"/>
      <c r="E20" s="12"/>
      <c r="F20" s="12"/>
      <c r="G20" s="12"/>
      <c r="H20" s="3"/>
    </row>
    <row r="21" spans="1:8">
      <c r="A21" s="271"/>
      <c r="B21" s="271"/>
      <c r="C21" s="98"/>
      <c r="D21" s="98"/>
      <c r="E21" s="98"/>
      <c r="F21" s="98"/>
      <c r="G21" s="98"/>
    </row>
    <row r="22" spans="1:8" ht="8.25" customHeight="1">
      <c r="A22" s="98"/>
      <c r="B22" s="98"/>
      <c r="C22" s="98"/>
      <c r="D22" s="98"/>
      <c r="E22" s="98"/>
      <c r="F22" s="98"/>
      <c r="G22" s="98"/>
    </row>
    <row r="23" spans="1:8">
      <c r="A23" s="98" t="s">
        <v>80</v>
      </c>
      <c r="B23" s="98"/>
      <c r="C23" s="98"/>
      <c r="D23" s="98"/>
      <c r="E23" s="98"/>
      <c r="F23" s="98"/>
      <c r="G23" s="98"/>
    </row>
    <row r="24" spans="1:8">
      <c r="A24" s="98"/>
      <c r="B24" s="98"/>
      <c r="C24" s="98"/>
      <c r="D24" s="98"/>
      <c r="E24" s="98"/>
      <c r="F24" s="98"/>
      <c r="G24" s="98"/>
    </row>
    <row r="25" spans="1:8" ht="14.25">
      <c r="A25" s="98"/>
      <c r="B25" s="100" t="s">
        <v>92</v>
      </c>
      <c r="C25" s="101">
        <f>+((CU*C17)+(C18*C19))/C20</f>
        <v>126.08933333333334</v>
      </c>
      <c r="D25" s="16" t="s">
        <v>366</v>
      </c>
      <c r="E25" s="101">
        <f>+C25/10</f>
        <v>12.608933333333335</v>
      </c>
      <c r="F25" s="16" t="s">
        <v>91</v>
      </c>
      <c r="G25" s="110"/>
      <c r="H25" s="112"/>
    </row>
    <row r="26" spans="1:8">
      <c r="A26" s="98"/>
      <c r="B26" s="98"/>
      <c r="C26" s="98"/>
      <c r="D26" s="98"/>
      <c r="E26" s="98"/>
      <c r="F26" s="98"/>
      <c r="G26" s="98"/>
    </row>
    <row r="27" spans="1:8">
      <c r="A27" s="108" t="s">
        <v>371</v>
      </c>
      <c r="B27" s="98"/>
      <c r="C27" s="98"/>
      <c r="D27" s="98"/>
      <c r="E27" s="98"/>
      <c r="F27" s="98"/>
      <c r="G27" s="98"/>
    </row>
    <row r="28" spans="1:8">
      <c r="A28" s="98"/>
      <c r="B28" s="98"/>
      <c r="C28" s="98"/>
      <c r="D28" s="98"/>
      <c r="E28" s="98"/>
      <c r="F28" s="98"/>
      <c r="G28" s="98"/>
    </row>
    <row r="29" spans="1:8">
      <c r="A29" s="98" t="s">
        <v>367</v>
      </c>
      <c r="B29" s="98"/>
      <c r="C29" s="98"/>
      <c r="D29" s="98"/>
      <c r="E29" s="98"/>
      <c r="F29" s="98"/>
      <c r="G29" s="98"/>
    </row>
    <row r="30" spans="1:8">
      <c r="A30" s="98"/>
      <c r="B30" s="98"/>
      <c r="C30" s="98"/>
      <c r="D30" s="98"/>
      <c r="E30" s="98"/>
      <c r="F30" s="98"/>
      <c r="G30" s="98"/>
    </row>
    <row r="31" spans="1:8">
      <c r="A31" s="98"/>
      <c r="B31" s="98"/>
      <c r="C31" s="232"/>
      <c r="D31" s="6"/>
      <c r="E31" s="98"/>
      <c r="F31" s="98"/>
      <c r="G31" s="98"/>
    </row>
    <row r="32" spans="1:8">
      <c r="A32" s="98"/>
      <c r="B32" s="98"/>
      <c r="C32" s="232"/>
      <c r="D32" s="6"/>
      <c r="E32" s="98"/>
      <c r="F32" s="98"/>
      <c r="G32" s="98"/>
    </row>
    <row r="33" spans="1:7">
      <c r="A33" s="98"/>
      <c r="B33" s="98"/>
      <c r="C33" s="232"/>
      <c r="D33" s="6"/>
      <c r="E33" s="98"/>
      <c r="F33" s="98"/>
      <c r="G33" s="98"/>
    </row>
    <row r="34" spans="1:7">
      <c r="A34" s="98"/>
      <c r="B34" s="98"/>
      <c r="C34" s="232"/>
      <c r="D34" s="6"/>
      <c r="E34" s="98"/>
      <c r="F34" s="98"/>
      <c r="G34" s="98"/>
    </row>
    <row r="35" spans="1:7" ht="9" customHeight="1">
      <c r="A35" s="98"/>
      <c r="B35" s="98"/>
      <c r="C35" s="232"/>
      <c r="D35" s="6"/>
      <c r="E35" s="98"/>
      <c r="F35" s="98"/>
      <c r="G35" s="98"/>
    </row>
    <row r="36" spans="1:7">
      <c r="A36" s="98" t="s">
        <v>2</v>
      </c>
      <c r="B36" s="98"/>
      <c r="C36" s="98"/>
      <c r="D36" s="98"/>
      <c r="E36" s="98"/>
      <c r="F36" s="12"/>
      <c r="G36" s="12"/>
    </row>
    <row r="37" spans="1:7">
      <c r="A37" s="98"/>
      <c r="B37" s="16" t="s">
        <v>85</v>
      </c>
      <c r="C37" s="105" t="s">
        <v>86</v>
      </c>
      <c r="D37" s="98"/>
      <c r="E37" s="98"/>
      <c r="F37" s="106">
        <f>+I10</f>
        <v>3.97</v>
      </c>
      <c r="G37" s="12" t="s">
        <v>87</v>
      </c>
    </row>
    <row r="38" spans="1:7" ht="13.5">
      <c r="A38" s="98"/>
      <c r="B38" s="16" t="s">
        <v>127</v>
      </c>
      <c r="C38" s="105" t="s">
        <v>88</v>
      </c>
      <c r="D38" s="98"/>
      <c r="E38" s="98"/>
      <c r="F38" s="106">
        <f>+CU</f>
        <v>61.7</v>
      </c>
      <c r="G38" s="102" t="s">
        <v>91</v>
      </c>
    </row>
    <row r="39" spans="1:7">
      <c r="A39" s="98"/>
      <c r="B39" s="16" t="s">
        <v>89</v>
      </c>
      <c r="C39" s="105" t="s">
        <v>90</v>
      </c>
      <c r="D39" s="98"/>
      <c r="E39" s="98"/>
      <c r="F39" s="106">
        <v>1.8</v>
      </c>
      <c r="G39" s="12" t="s">
        <v>87</v>
      </c>
    </row>
    <row r="40" spans="1:7" ht="13.5">
      <c r="A40" s="98"/>
      <c r="B40" s="6" t="s">
        <v>94</v>
      </c>
      <c r="C40" s="15">
        <v>19.399999999999999</v>
      </c>
      <c r="D40" s="105" t="s">
        <v>93</v>
      </c>
      <c r="E40" s="98"/>
      <c r="F40" s="12"/>
      <c r="G40" s="12"/>
    </row>
    <row r="41" spans="1:7">
      <c r="A41" s="98"/>
      <c r="B41" s="98"/>
      <c r="C41" s="98"/>
      <c r="D41" s="98"/>
      <c r="E41" s="98"/>
      <c r="F41" s="12"/>
      <c r="G41" s="12"/>
    </row>
    <row r="42" spans="1:7">
      <c r="A42" s="98"/>
      <c r="B42" s="7"/>
      <c r="C42" s="8"/>
      <c r="D42" s="9"/>
      <c r="E42" s="98"/>
      <c r="F42" s="12"/>
      <c r="G42" s="12"/>
    </row>
    <row r="43" spans="1:7">
      <c r="A43" s="98"/>
      <c r="B43" s="98"/>
      <c r="C43" s="8"/>
      <c r="D43" s="98"/>
      <c r="E43" s="98"/>
      <c r="F43" s="12"/>
      <c r="G43" s="12"/>
    </row>
    <row r="44" spans="1:7">
      <c r="A44" s="98"/>
      <c r="B44" s="16" t="str">
        <f>CONCATENATE("H = ",Alt," m")</f>
        <v>H = 3,97 m</v>
      </c>
      <c r="C44" s="10" t="str">
        <f>CONCATENATE("Bd = ",Bd," m")</f>
        <v>Bd = 1,8 m</v>
      </c>
      <c r="D44" s="98"/>
      <c r="E44" s="16"/>
      <c r="F44" s="101"/>
      <c r="G44" s="105"/>
    </row>
    <row r="45" spans="1:7">
      <c r="A45" s="98"/>
      <c r="B45" s="98"/>
      <c r="C45" s="8"/>
      <c r="D45" s="98"/>
      <c r="E45" s="98"/>
      <c r="F45" s="98"/>
      <c r="G45" s="98"/>
    </row>
    <row r="46" spans="1:7">
      <c r="A46" s="98"/>
      <c r="B46" s="98"/>
      <c r="C46" s="11"/>
      <c r="D46" s="98"/>
      <c r="E46" s="98"/>
      <c r="F46" s="98"/>
      <c r="G46" s="98"/>
    </row>
    <row r="47" spans="1:7">
      <c r="A47" s="98"/>
      <c r="B47" s="98"/>
      <c r="C47" s="98"/>
      <c r="D47" s="98"/>
      <c r="E47" s="98"/>
      <c r="F47" s="98"/>
      <c r="G47" s="98"/>
    </row>
    <row r="48" spans="1:7">
      <c r="A48" s="98"/>
      <c r="B48" s="100" t="s">
        <v>61</v>
      </c>
      <c r="C48" s="69">
        <f>(1/Alt)*(5.7*F38)/(C40-((CU/100)/(0.7*Bd)))</f>
        <v>4.6845803593260795</v>
      </c>
      <c r="D48" s="98" t="s">
        <v>81</v>
      </c>
      <c r="E48" s="98" t="str">
        <f>IF(C48&gt;1.5,"OK","NO CUMPLE")</f>
        <v>OK</v>
      </c>
      <c r="F48" s="98"/>
      <c r="G48" s="98"/>
    </row>
    <row r="49" spans="1:10">
      <c r="A49" s="98"/>
      <c r="B49" s="98"/>
      <c r="C49" s="98"/>
      <c r="D49" s="98"/>
      <c r="E49" s="98"/>
      <c r="F49" s="98"/>
      <c r="G49" s="98"/>
    </row>
    <row r="50" spans="1:10">
      <c r="A50" s="108" t="s">
        <v>372</v>
      </c>
      <c r="B50" s="98"/>
      <c r="C50" s="98"/>
      <c r="D50" s="98"/>
      <c r="E50" s="98"/>
      <c r="F50" s="98"/>
      <c r="G50" s="98"/>
    </row>
    <row r="51" spans="1:10">
      <c r="A51" s="98"/>
      <c r="B51" s="98"/>
      <c r="C51" s="98"/>
      <c r="D51" s="98"/>
      <c r="E51" s="98"/>
      <c r="F51" s="98"/>
      <c r="G51" s="98"/>
    </row>
    <row r="52" spans="1:10">
      <c r="A52" s="98" t="s">
        <v>387</v>
      </c>
      <c r="B52" s="98"/>
      <c r="C52" s="98"/>
      <c r="D52" s="98"/>
      <c r="E52" s="98"/>
      <c r="F52" s="98"/>
      <c r="G52" s="98"/>
    </row>
    <row r="53" spans="1:10">
      <c r="A53" s="98"/>
      <c r="B53" s="98"/>
      <c r="C53" s="98"/>
      <c r="D53" s="98"/>
      <c r="E53" s="98"/>
      <c r="F53" s="98"/>
      <c r="G53" s="98"/>
    </row>
    <row r="54" spans="1:10">
      <c r="A54" s="272" t="s">
        <v>368</v>
      </c>
      <c r="B54" s="5" t="s">
        <v>82</v>
      </c>
      <c r="C54" s="273" t="s">
        <v>83</v>
      </c>
      <c r="D54" s="269">
        <f>+(2*F38)/(3*C40)</f>
        <v>2.1202749140893475</v>
      </c>
      <c r="F54" s="98"/>
      <c r="G54" s="98"/>
      <c r="H54" s="258"/>
      <c r="I54" s="259"/>
      <c r="J54" s="257"/>
    </row>
    <row r="55" spans="1:10">
      <c r="A55" s="272"/>
      <c r="B55" s="16" t="s">
        <v>95</v>
      </c>
      <c r="C55" s="273"/>
      <c r="D55" s="269"/>
      <c r="E55" s="98"/>
      <c r="F55" s="98"/>
      <c r="G55" s="98"/>
    </row>
    <row r="56" spans="1:10">
      <c r="A56" s="98"/>
      <c r="B56" s="98"/>
      <c r="C56" s="98"/>
      <c r="D56" s="98"/>
      <c r="E56" s="98"/>
      <c r="F56" s="98"/>
      <c r="G56" s="98"/>
    </row>
    <row r="57" spans="1:10">
      <c r="A57" s="98" t="s">
        <v>84</v>
      </c>
      <c r="B57" s="98"/>
      <c r="C57" s="98"/>
      <c r="D57" s="98"/>
      <c r="E57" s="98"/>
      <c r="F57" s="98"/>
      <c r="G57" s="98"/>
    </row>
  </sheetData>
  <mergeCells count="12">
    <mergeCell ref="A2:G2"/>
    <mergeCell ref="A3:G3"/>
    <mergeCell ref="A4:G4"/>
    <mergeCell ref="A54:A55"/>
    <mergeCell ref="C54:C55"/>
    <mergeCell ref="D54:D55"/>
    <mergeCell ref="A21:B21"/>
    <mergeCell ref="A16:B16"/>
    <mergeCell ref="A17:B17"/>
    <mergeCell ref="A18:B18"/>
    <mergeCell ref="A19:B19"/>
    <mergeCell ref="A20:B20"/>
  </mergeCells>
  <conditionalFormatting sqref="C48">
    <cfRule type="cellIs" dxfId="13" priority="2" stopIfTrue="1" operator="lessThanOrEqual">
      <formula>1.5</formula>
    </cfRule>
  </conditionalFormatting>
  <printOptions horizontalCentered="1"/>
  <pageMargins left="0.94488188976377963" right="0.59055118110236227" top="0.78740157480314965" bottom="0.78740157480314965" header="0.78740157480314965" footer="0.78740157480314965"/>
  <pageSetup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BACE7-96B9-447E-B25C-D1AE3C154722}">
  <sheetPr>
    <tabColor theme="9" tint="0.59999389629810485"/>
    <pageSetUpPr fitToPage="1"/>
  </sheetPr>
  <dimension ref="A2:IF512"/>
  <sheetViews>
    <sheetView tabSelected="1" view="pageBreakPreview" topLeftCell="A184" zoomScale="80" zoomScaleNormal="90" zoomScaleSheetLayoutView="80" workbookViewId="0">
      <selection activeCell="G204" sqref="G204:G220"/>
    </sheetView>
  </sheetViews>
  <sheetFormatPr baseColWidth="10" defaultColWidth="11.42578125" defaultRowHeight="12"/>
  <cols>
    <col min="1" max="1" width="9.140625" style="17" customWidth="1"/>
    <col min="2" max="2" width="11.28515625" style="17" customWidth="1"/>
    <col min="3" max="3" width="11.140625" style="17" customWidth="1"/>
    <col min="4" max="4" width="10.7109375" style="17" customWidth="1"/>
    <col min="5" max="5" width="13.42578125" style="17" customWidth="1"/>
    <col min="6" max="6" width="13.85546875" style="17" customWidth="1"/>
    <col min="7" max="7" width="16.85546875" style="17" customWidth="1"/>
    <col min="8" max="8" width="15" style="17" customWidth="1"/>
    <col min="9" max="9" width="14.28515625" style="17" customWidth="1"/>
    <col min="10" max="10" width="15" style="17" customWidth="1"/>
    <col min="11" max="11" width="14.42578125" style="17" customWidth="1"/>
    <col min="12" max="12" width="12.5703125" style="17" customWidth="1"/>
    <col min="13" max="13" width="12.85546875" style="17" customWidth="1"/>
    <col min="14" max="14" width="11.42578125" style="17"/>
    <col min="15" max="16" width="11.85546875" style="17" bestFit="1" customWidth="1"/>
    <col min="17" max="17" width="11.85546875" style="17" customWidth="1"/>
    <col min="18" max="18" width="11.85546875" style="17" bestFit="1" customWidth="1"/>
    <col min="19" max="19" width="16.28515625" style="17" bestFit="1" customWidth="1"/>
    <col min="20" max="20" width="11.85546875" style="17" bestFit="1" customWidth="1"/>
    <col min="21" max="21" width="15.140625" style="17" customWidth="1"/>
    <col min="22" max="22" width="11.5703125" style="17" bestFit="1" customWidth="1"/>
    <col min="23" max="23" width="15" style="17" customWidth="1"/>
    <col min="24" max="24" width="11.5703125" style="17" bestFit="1" customWidth="1"/>
    <col min="25" max="16384" width="11.42578125" style="17"/>
  </cols>
  <sheetData>
    <row r="2" spans="1:13" ht="12.75" customHeight="1">
      <c r="A2" s="302" t="s">
        <v>236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3" spans="1:13" s="56" customFormat="1" ht="12.75" customHeight="1">
      <c r="A3" s="303" t="s">
        <v>383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</row>
    <row r="4" spans="1:13" s="56" customFormat="1" ht="12.75" customHeight="1">
      <c r="A4" s="303" t="s">
        <v>237</v>
      </c>
      <c r="B4" s="303"/>
      <c r="C4" s="303"/>
      <c r="D4" s="303"/>
      <c r="E4" s="303"/>
      <c r="F4" s="303"/>
      <c r="G4" s="303"/>
      <c r="H4" s="303"/>
      <c r="I4" s="303"/>
      <c r="J4" s="303"/>
      <c r="K4" s="303"/>
      <c r="L4" s="303"/>
      <c r="M4" s="303"/>
    </row>
    <row r="6" spans="1:13">
      <c r="A6" s="19" t="s">
        <v>78</v>
      </c>
    </row>
    <row r="8" spans="1:13">
      <c r="A8" s="19" t="s">
        <v>0</v>
      </c>
    </row>
    <row r="9" spans="1:13">
      <c r="A9" s="19"/>
    </row>
    <row r="10" spans="1:13">
      <c r="A10" s="19" t="s">
        <v>1</v>
      </c>
    </row>
    <row r="11" spans="1:13" ht="12.75" customHeight="1"/>
    <row r="12" spans="1:13" ht="12.75" customHeight="1"/>
    <row r="13" spans="1:13" ht="12.75" customHeight="1"/>
    <row r="14" spans="1:13">
      <c r="E14" s="20"/>
      <c r="F14" s="20"/>
      <c r="G14" s="18"/>
    </row>
    <row r="15" spans="1:13">
      <c r="D15" s="17" t="s">
        <v>2</v>
      </c>
    </row>
    <row r="16" spans="1:13">
      <c r="E16" s="20"/>
      <c r="F16" s="20"/>
      <c r="G16" s="18"/>
    </row>
    <row r="17" spans="1:15">
      <c r="E17" s="20"/>
      <c r="F17" s="20"/>
      <c r="G17" s="18"/>
    </row>
    <row r="18" spans="1:15">
      <c r="E18" s="20"/>
      <c r="F18" s="20"/>
      <c r="G18" s="18"/>
    </row>
    <row r="19" spans="1:15">
      <c r="E19" s="20"/>
      <c r="F19" s="20"/>
      <c r="G19" s="18"/>
    </row>
    <row r="20" spans="1:15">
      <c r="E20" s="20"/>
      <c r="F20" s="20"/>
      <c r="G20" s="18"/>
    </row>
    <row r="21" spans="1:15">
      <c r="E21" s="20"/>
      <c r="F21" s="20"/>
      <c r="G21" s="18"/>
    </row>
    <row r="22" spans="1:15">
      <c r="E22" s="20"/>
      <c r="F22" s="20"/>
      <c r="G22" s="18"/>
    </row>
    <row r="23" spans="1:15">
      <c r="E23" s="20"/>
      <c r="F23" s="20"/>
      <c r="G23" s="18"/>
    </row>
    <row r="24" spans="1:15" ht="7.5" customHeight="1">
      <c r="E24" s="20"/>
      <c r="F24" s="20"/>
      <c r="G24" s="18"/>
    </row>
    <row r="26" spans="1:15">
      <c r="A26" s="19" t="s">
        <v>3</v>
      </c>
      <c r="G26" s="18"/>
    </row>
    <row r="27" spans="1:15">
      <c r="G27" s="18"/>
    </row>
    <row r="28" spans="1:15">
      <c r="G28" s="18"/>
    </row>
    <row r="29" spans="1:15">
      <c r="G29" s="18"/>
    </row>
    <row r="30" spans="1:15">
      <c r="E30" s="20"/>
      <c r="F30" s="20"/>
      <c r="G30" s="18"/>
    </row>
    <row r="31" spans="1:15">
      <c r="D31" s="17" t="s">
        <v>2</v>
      </c>
      <c r="G31" s="18"/>
      <c r="N31" s="29"/>
      <c r="O31" s="29"/>
    </row>
    <row r="32" spans="1:15">
      <c r="G32" s="18"/>
      <c r="N32" s="29"/>
      <c r="O32" s="29"/>
    </row>
    <row r="33" spans="1:22">
      <c r="E33" s="20"/>
      <c r="F33" s="20"/>
      <c r="G33" s="18"/>
      <c r="N33" s="29"/>
      <c r="O33" s="29"/>
    </row>
    <row r="34" spans="1:22" ht="18.75" customHeight="1">
      <c r="E34" s="22"/>
      <c r="F34" s="22"/>
      <c r="G34" s="18"/>
      <c r="N34" s="29"/>
      <c r="O34" s="29"/>
    </row>
    <row r="35" spans="1:22">
      <c r="A35" s="17" t="s">
        <v>4</v>
      </c>
      <c r="N35" s="29"/>
      <c r="O35" s="29"/>
    </row>
    <row r="36" spans="1:22" ht="16.5" customHeight="1">
      <c r="N36" s="29"/>
      <c r="O36" s="29"/>
    </row>
    <row r="37" spans="1:22">
      <c r="C37" s="23" t="s">
        <v>96</v>
      </c>
      <c r="D37" s="41">
        <v>30</v>
      </c>
      <c r="E37" s="130"/>
      <c r="F37" s="131" t="s">
        <v>97</v>
      </c>
      <c r="G37" s="132">
        <f>D37*PI()/180</f>
        <v>0.52359877559829882</v>
      </c>
      <c r="K37" s="26"/>
    </row>
    <row r="38" spans="1:22" ht="13.5">
      <c r="C38" s="27" t="s">
        <v>5</v>
      </c>
      <c r="D38" s="132">
        <f>(TAN(PI()/4-G37/2))^2</f>
        <v>0.33333333333333343</v>
      </c>
      <c r="E38" s="130"/>
      <c r="F38" s="131" t="s">
        <v>98</v>
      </c>
      <c r="G38" s="54">
        <v>20</v>
      </c>
      <c r="K38" s="26"/>
    </row>
    <row r="39" spans="1:22">
      <c r="C39" s="23" t="s">
        <v>99</v>
      </c>
      <c r="D39" s="25">
        <f>TAN(G37)</f>
        <v>0.57735026918962573</v>
      </c>
      <c r="E39" s="24"/>
      <c r="K39" s="26"/>
    </row>
    <row r="40" spans="1:22">
      <c r="R40" s="97" t="s">
        <v>390</v>
      </c>
    </row>
    <row r="41" spans="1:22" s="31" customFormat="1" ht="28.5" customHeight="1">
      <c r="A41" s="168"/>
      <c r="B41" s="138" t="s">
        <v>128</v>
      </c>
      <c r="C41" s="145" t="s">
        <v>129</v>
      </c>
      <c r="D41" s="145" t="s">
        <v>130</v>
      </c>
      <c r="E41" s="145" t="s">
        <v>209</v>
      </c>
      <c r="F41" s="145" t="s">
        <v>208</v>
      </c>
      <c r="G41" s="145" t="s">
        <v>223</v>
      </c>
      <c r="H41" s="145" t="s">
        <v>207</v>
      </c>
      <c r="I41" s="145" t="s">
        <v>205</v>
      </c>
      <c r="J41" s="129" t="s">
        <v>10</v>
      </c>
      <c r="K41" s="145" t="s">
        <v>206</v>
      </c>
      <c r="L41" s="145" t="s">
        <v>202</v>
      </c>
      <c r="O41" s="137" t="s">
        <v>203</v>
      </c>
      <c r="P41" s="137" t="s">
        <v>389</v>
      </c>
      <c r="Q41" s="137" t="s">
        <v>12</v>
      </c>
      <c r="R41" s="254" t="s">
        <v>388</v>
      </c>
      <c r="S41" s="124"/>
      <c r="V41" s="17"/>
    </row>
    <row r="42" spans="1:22" ht="13.5" customHeight="1">
      <c r="A42" s="169"/>
      <c r="B42" s="55">
        <v>130362</v>
      </c>
      <c r="C42" s="178" t="s">
        <v>145</v>
      </c>
      <c r="D42" s="53">
        <v>39.630000000000003</v>
      </c>
      <c r="E42" s="55">
        <v>8</v>
      </c>
      <c r="F42" s="134">
        <f>+INDEX(Especificaciones!$C$5:$C$25,MATCH('Flexible - La Vict'!O42,Especificaciones!$B$5:$B$25,-1))</f>
        <v>0.2732</v>
      </c>
      <c r="G42" s="53">
        <v>2738.53</v>
      </c>
      <c r="H42" s="53">
        <v>2.85</v>
      </c>
      <c r="I42" s="53">
        <v>1</v>
      </c>
      <c r="J42" s="32">
        <f t="shared" ref="J42:J63" si="0">IF(I42&gt;=2*F42,H42/F42,(1-EXP(-2*$D$38*$D$39*H42/I42))/(2*$D$38*$D$39))</f>
        <v>10.431918008784773</v>
      </c>
      <c r="K42" s="135">
        <f t="shared" ref="K42:K63" si="1">IF(I42&gt;=2*F42,J42*$G$38*F42^2,J42*$G$38*I42*F42)</f>
        <v>15.5724</v>
      </c>
      <c r="L42" s="135" t="s">
        <v>17</v>
      </c>
      <c r="N42" s="38"/>
      <c r="O42" s="55">
        <v>203.2</v>
      </c>
      <c r="P42" s="21">
        <f>+F42+H42+0.1</f>
        <v>3.2232000000000003</v>
      </c>
      <c r="Q42" s="21">
        <f>P42*1.5</f>
        <v>4.8348000000000004</v>
      </c>
      <c r="R42" s="260">
        <f>+P42*I42*D42</f>
        <v>127.73541600000001</v>
      </c>
      <c r="S42" s="14"/>
      <c r="T42" s="29"/>
      <c r="U42" s="14"/>
      <c r="V42" s="29"/>
    </row>
    <row r="43" spans="1:22" ht="13.5" customHeight="1">
      <c r="A43" s="169"/>
      <c r="B43" s="55" t="s">
        <v>145</v>
      </c>
      <c r="C43" s="178">
        <v>130317</v>
      </c>
      <c r="D43" s="53">
        <v>70.36</v>
      </c>
      <c r="E43" s="55">
        <v>8</v>
      </c>
      <c r="F43" s="134">
        <f>+INDEX(Especificaciones!$C$5:$C$25,MATCH('Flexible - La Vict'!O43,Especificaciones!$B$5:$B$25,-1))</f>
        <v>0.2732</v>
      </c>
      <c r="G43" s="53">
        <v>2734.93</v>
      </c>
      <c r="H43" s="53">
        <v>2.96</v>
      </c>
      <c r="I43" s="53">
        <v>1</v>
      </c>
      <c r="J43" s="32">
        <f t="shared" si="0"/>
        <v>10.834553440702782</v>
      </c>
      <c r="K43" s="135">
        <f t="shared" si="1"/>
        <v>16.173439999999999</v>
      </c>
      <c r="L43" s="135" t="s">
        <v>17</v>
      </c>
      <c r="N43" s="38"/>
      <c r="O43" s="55">
        <v>203.2</v>
      </c>
      <c r="P43" s="21">
        <f t="shared" ref="P43:P63" si="2">+F43+H43+0.1</f>
        <v>3.3332000000000002</v>
      </c>
      <c r="Q43" s="21">
        <f t="shared" ref="Q43:Q63" si="3">P43*1.5</f>
        <v>4.9998000000000005</v>
      </c>
      <c r="R43" s="260">
        <f t="shared" ref="R43:R81" si="4">+P43*I43*D43</f>
        <v>234.52395200000001</v>
      </c>
      <c r="S43" s="14"/>
      <c r="T43" s="29"/>
      <c r="U43" s="14"/>
      <c r="V43" s="29"/>
    </row>
    <row r="44" spans="1:22" ht="13.5" customHeight="1">
      <c r="A44" s="169"/>
      <c r="B44" s="55" t="s">
        <v>146</v>
      </c>
      <c r="C44" s="178">
        <v>79879</v>
      </c>
      <c r="D44" s="53">
        <v>55.38</v>
      </c>
      <c r="E44" s="55">
        <v>8</v>
      </c>
      <c r="F44" s="134">
        <f>+INDEX(Especificaciones!$C$5:$C$25,MATCH('Flexible - La Vict'!O44,Especificaciones!$B$5:$B$25,-1))</f>
        <v>0.2732</v>
      </c>
      <c r="G44" s="53">
        <v>2743.5</v>
      </c>
      <c r="H44" s="53">
        <v>2.2000000000000002</v>
      </c>
      <c r="I44" s="53">
        <v>1</v>
      </c>
      <c r="J44" s="32">
        <f t="shared" si="0"/>
        <v>8.0527086383601763</v>
      </c>
      <c r="K44" s="135">
        <f t="shared" si="1"/>
        <v>12.020799999999999</v>
      </c>
      <c r="L44" s="135" t="s">
        <v>17</v>
      </c>
      <c r="N44" s="38"/>
      <c r="O44" s="55">
        <v>203.2</v>
      </c>
      <c r="P44" s="21">
        <f t="shared" si="2"/>
        <v>2.5732000000000004</v>
      </c>
      <c r="Q44" s="21">
        <f t="shared" si="3"/>
        <v>3.8598000000000008</v>
      </c>
      <c r="R44" s="260">
        <f t="shared" si="4"/>
        <v>142.50381600000003</v>
      </c>
      <c r="S44" s="14"/>
      <c r="T44" s="29"/>
      <c r="U44" s="14"/>
      <c r="V44" s="29"/>
    </row>
    <row r="45" spans="1:22" ht="13.5" customHeight="1">
      <c r="A45" s="169"/>
      <c r="B45" s="55">
        <v>79879</v>
      </c>
      <c r="C45" s="178">
        <v>130362</v>
      </c>
      <c r="D45" s="53">
        <v>49.85</v>
      </c>
      <c r="E45" s="55">
        <v>8</v>
      </c>
      <c r="F45" s="134">
        <f>+INDEX(Especificaciones!$C$5:$C$25,MATCH('Flexible - La Vict'!O45,Especificaciones!$B$5:$B$25,-1))</f>
        <v>0.2732</v>
      </c>
      <c r="G45" s="53">
        <v>2739.62</v>
      </c>
      <c r="H45" s="53">
        <v>1.92</v>
      </c>
      <c r="I45" s="53">
        <v>1</v>
      </c>
      <c r="J45" s="32">
        <f t="shared" si="0"/>
        <v>7.0278184480234263</v>
      </c>
      <c r="K45" s="135">
        <f t="shared" si="1"/>
        <v>10.490879999999999</v>
      </c>
      <c r="L45" s="135" t="s">
        <v>17</v>
      </c>
      <c r="N45" s="38"/>
      <c r="O45" s="55">
        <v>203.2</v>
      </c>
      <c r="P45" s="21">
        <f t="shared" si="2"/>
        <v>2.2932000000000001</v>
      </c>
      <c r="Q45" s="21">
        <f t="shared" si="3"/>
        <v>3.4398</v>
      </c>
      <c r="R45" s="260">
        <f t="shared" si="4"/>
        <v>114.31602000000001</v>
      </c>
      <c r="S45" s="14"/>
      <c r="T45" s="29"/>
      <c r="U45" s="14"/>
      <c r="V45" s="29"/>
    </row>
    <row r="46" spans="1:22" ht="13.5" customHeight="1">
      <c r="A46" s="169"/>
      <c r="B46" s="55">
        <v>79879</v>
      </c>
      <c r="C46" s="178">
        <v>130234</v>
      </c>
      <c r="D46" s="53">
        <v>51.12</v>
      </c>
      <c r="E46" s="55">
        <v>8</v>
      </c>
      <c r="F46" s="134">
        <f>+INDEX(Especificaciones!$C$5:$C$25,MATCH('Flexible - La Vict'!O46,Especificaciones!$B$5:$B$25,-1))</f>
        <v>0.2732</v>
      </c>
      <c r="G46" s="53">
        <v>2740.08</v>
      </c>
      <c r="H46" s="53">
        <v>1.46</v>
      </c>
      <c r="I46" s="53">
        <v>1</v>
      </c>
      <c r="J46" s="32">
        <f t="shared" si="0"/>
        <v>5.3440702781844802</v>
      </c>
      <c r="K46" s="135">
        <f t="shared" si="1"/>
        <v>7.9774399999999996</v>
      </c>
      <c r="L46" s="135" t="s">
        <v>17</v>
      </c>
      <c r="N46" s="38"/>
      <c r="O46" s="55">
        <v>203.2</v>
      </c>
      <c r="P46" s="21">
        <f t="shared" si="2"/>
        <v>1.8332000000000002</v>
      </c>
      <c r="Q46" s="21">
        <f t="shared" si="3"/>
        <v>2.7498000000000005</v>
      </c>
      <c r="R46" s="260">
        <f t="shared" si="4"/>
        <v>93.713183999999998</v>
      </c>
      <c r="S46" s="14"/>
      <c r="T46" s="29"/>
      <c r="U46" s="14"/>
      <c r="V46" s="29"/>
    </row>
    <row r="47" spans="1:22" ht="13.5" customHeight="1">
      <c r="A47" s="169"/>
      <c r="B47" s="55">
        <v>130234</v>
      </c>
      <c r="C47" s="178" t="s">
        <v>147</v>
      </c>
      <c r="D47" s="53">
        <v>54.91</v>
      </c>
      <c r="E47" s="55">
        <v>10</v>
      </c>
      <c r="F47" s="134">
        <f>+INDEX(Especificaciones!$C$5:$C$25,MATCH('Flexible - La Vict'!O47,Especificaciones!$B$5:$B$25,-1))</f>
        <v>0.32400000000000001</v>
      </c>
      <c r="G47" s="53">
        <v>2737.63</v>
      </c>
      <c r="H47" s="53">
        <v>2.66</v>
      </c>
      <c r="I47" s="53">
        <v>1</v>
      </c>
      <c r="J47" s="32">
        <f t="shared" si="0"/>
        <v>8.2098765432098766</v>
      </c>
      <c r="K47" s="135">
        <f t="shared" si="1"/>
        <v>17.236799999999999</v>
      </c>
      <c r="L47" s="135" t="s">
        <v>17</v>
      </c>
      <c r="N47" s="38"/>
      <c r="O47" s="55">
        <v>254</v>
      </c>
      <c r="P47" s="21">
        <f t="shared" si="2"/>
        <v>3.0840000000000001</v>
      </c>
      <c r="Q47" s="21">
        <f t="shared" si="3"/>
        <v>4.6260000000000003</v>
      </c>
      <c r="R47" s="260">
        <f t="shared" si="4"/>
        <v>169.34243999999998</v>
      </c>
      <c r="S47" s="14"/>
      <c r="T47" s="29"/>
      <c r="U47" s="14"/>
      <c r="V47" s="29"/>
    </row>
    <row r="48" spans="1:22" ht="13.5" customHeight="1">
      <c r="A48" s="169"/>
      <c r="B48" s="55" t="s">
        <v>147</v>
      </c>
      <c r="C48" s="178">
        <v>130178</v>
      </c>
      <c r="D48" s="53">
        <v>55.4</v>
      </c>
      <c r="E48" s="55">
        <v>10</v>
      </c>
      <c r="F48" s="134">
        <f>+INDEX(Especificaciones!$C$5:$C$25,MATCH('Flexible - La Vict'!O48,Especificaciones!$B$5:$B$25,-1))</f>
        <v>0.32400000000000001</v>
      </c>
      <c r="G48" s="53">
        <v>2732.67</v>
      </c>
      <c r="H48" s="53">
        <v>1.99</v>
      </c>
      <c r="I48" s="53">
        <v>1</v>
      </c>
      <c r="J48" s="32">
        <f t="shared" si="0"/>
        <v>6.1419753086419755</v>
      </c>
      <c r="K48" s="135">
        <f t="shared" si="1"/>
        <v>12.895200000000001</v>
      </c>
      <c r="L48" s="135" t="s">
        <v>17</v>
      </c>
      <c r="N48" s="38"/>
      <c r="O48" s="55">
        <v>254</v>
      </c>
      <c r="P48" s="21">
        <f t="shared" si="2"/>
        <v>2.4140000000000001</v>
      </c>
      <c r="Q48" s="21">
        <f t="shared" si="3"/>
        <v>3.6210000000000004</v>
      </c>
      <c r="R48" s="260">
        <f t="shared" si="4"/>
        <v>133.73560000000001</v>
      </c>
      <c r="S48" s="14"/>
      <c r="T48" s="29"/>
      <c r="U48" s="14"/>
      <c r="V48" s="29"/>
    </row>
    <row r="49" spans="1:22" ht="13.5" customHeight="1">
      <c r="A49" s="169"/>
      <c r="B49" s="55">
        <v>130178</v>
      </c>
      <c r="C49" s="178" t="s">
        <v>148</v>
      </c>
      <c r="D49" s="53">
        <v>48.08</v>
      </c>
      <c r="E49" s="55">
        <v>10</v>
      </c>
      <c r="F49" s="134">
        <f>+INDEX(Especificaciones!$C$5:$C$25,MATCH('Flexible - La Vict'!O49,Especificaciones!$B$5:$B$25,-1))</f>
        <v>0.32400000000000001</v>
      </c>
      <c r="G49" s="53">
        <v>2727.21</v>
      </c>
      <c r="H49" s="53">
        <v>2.02</v>
      </c>
      <c r="I49" s="53">
        <v>1</v>
      </c>
      <c r="J49" s="32">
        <f t="shared" si="0"/>
        <v>6.2345679012345681</v>
      </c>
      <c r="K49" s="135">
        <f t="shared" si="1"/>
        <v>13.089600000000001</v>
      </c>
      <c r="L49" s="135" t="s">
        <v>17</v>
      </c>
      <c r="N49" s="38"/>
      <c r="O49" s="55">
        <v>254</v>
      </c>
      <c r="P49" s="21">
        <f t="shared" si="2"/>
        <v>2.444</v>
      </c>
      <c r="Q49" s="21">
        <f t="shared" si="3"/>
        <v>3.6659999999999999</v>
      </c>
      <c r="R49" s="260">
        <f t="shared" si="4"/>
        <v>117.50752</v>
      </c>
      <c r="S49" s="14"/>
      <c r="T49" s="29"/>
      <c r="U49" s="14"/>
      <c r="V49" s="29"/>
    </row>
    <row r="50" spans="1:22" ht="13.5" customHeight="1">
      <c r="A50" s="169"/>
      <c r="B50" s="55">
        <v>130317</v>
      </c>
      <c r="C50" s="178">
        <v>130251</v>
      </c>
      <c r="D50" s="53">
        <v>50.83</v>
      </c>
      <c r="E50" s="55">
        <v>8</v>
      </c>
      <c r="F50" s="134">
        <f>+INDEX(Especificaciones!$C$5:$C$25,MATCH('Flexible - La Vict'!O50,Especificaciones!$B$5:$B$25,-1))</f>
        <v>0.2732</v>
      </c>
      <c r="G50" s="53">
        <v>2729.44</v>
      </c>
      <c r="H50" s="53">
        <v>1.64</v>
      </c>
      <c r="I50" s="53">
        <v>1</v>
      </c>
      <c r="J50" s="32">
        <f t="shared" si="0"/>
        <v>6.0029282576866763</v>
      </c>
      <c r="K50" s="135">
        <f t="shared" si="1"/>
        <v>8.9609599999999983</v>
      </c>
      <c r="L50" s="135" t="s">
        <v>17</v>
      </c>
      <c r="N50" s="38"/>
      <c r="O50" s="55">
        <v>203.2</v>
      </c>
      <c r="P50" s="21">
        <f t="shared" si="2"/>
        <v>2.0131999999999999</v>
      </c>
      <c r="Q50" s="21">
        <f t="shared" si="3"/>
        <v>3.0198</v>
      </c>
      <c r="R50" s="260">
        <f t="shared" si="4"/>
        <v>102.33095599999999</v>
      </c>
      <c r="S50" s="14"/>
      <c r="T50" s="29"/>
      <c r="U50" s="14"/>
      <c r="V50" s="29"/>
    </row>
    <row r="51" spans="1:22" ht="13.5" customHeight="1">
      <c r="A51" s="169"/>
      <c r="B51" s="55">
        <v>130178</v>
      </c>
      <c r="C51" s="178">
        <v>130251</v>
      </c>
      <c r="D51" s="53">
        <v>50.1</v>
      </c>
      <c r="E51" s="55">
        <v>8</v>
      </c>
      <c r="F51" s="134">
        <f>+INDEX(Especificaciones!$C$5:$C$25,MATCH('Flexible - La Vict'!O51,Especificaciones!$B$5:$B$25,-1))</f>
        <v>0.2732</v>
      </c>
      <c r="G51" s="53">
        <v>2727.89</v>
      </c>
      <c r="H51" s="53">
        <v>1.8</v>
      </c>
      <c r="I51" s="53">
        <v>1</v>
      </c>
      <c r="J51" s="32">
        <f t="shared" si="0"/>
        <v>6.5885797950219622</v>
      </c>
      <c r="K51" s="135">
        <f t="shared" si="1"/>
        <v>9.8352000000000004</v>
      </c>
      <c r="L51" s="135" t="s">
        <v>17</v>
      </c>
      <c r="N51" s="38"/>
      <c r="O51" s="55">
        <v>203.2</v>
      </c>
      <c r="P51" s="21">
        <f t="shared" si="2"/>
        <v>2.1732</v>
      </c>
      <c r="Q51" s="21">
        <f t="shared" si="3"/>
        <v>3.2598000000000003</v>
      </c>
      <c r="R51" s="260">
        <f t="shared" si="4"/>
        <v>108.87732</v>
      </c>
      <c r="S51" s="14"/>
      <c r="T51" s="29"/>
      <c r="U51" s="14"/>
      <c r="V51" s="29"/>
    </row>
    <row r="52" spans="1:22" ht="13.5" customHeight="1">
      <c r="A52" s="169"/>
      <c r="B52" s="55" t="s">
        <v>149</v>
      </c>
      <c r="C52" s="178" t="s">
        <v>150</v>
      </c>
      <c r="D52" s="53">
        <v>6.14</v>
      </c>
      <c r="E52" s="55">
        <v>8</v>
      </c>
      <c r="F52" s="134">
        <f>+INDEX(Especificaciones!$C$5:$C$25,MATCH('Flexible - La Vict'!O52,Especificaciones!$B$5:$B$25,-1))</f>
        <v>0.2732</v>
      </c>
      <c r="G52" s="53">
        <v>2728.85</v>
      </c>
      <c r="H52" s="53">
        <v>1.86</v>
      </c>
      <c r="I52" s="53">
        <v>1</v>
      </c>
      <c r="J52" s="32">
        <f t="shared" si="0"/>
        <v>6.8081991215226942</v>
      </c>
      <c r="K52" s="135">
        <f t="shared" si="1"/>
        <v>10.163039999999999</v>
      </c>
      <c r="L52" s="135" t="s">
        <v>17</v>
      </c>
      <c r="N52" s="38"/>
      <c r="O52" s="55">
        <v>203.2</v>
      </c>
      <c r="P52" s="21">
        <f t="shared" si="2"/>
        <v>2.2332000000000001</v>
      </c>
      <c r="Q52" s="21">
        <f t="shared" si="3"/>
        <v>3.3498000000000001</v>
      </c>
      <c r="R52" s="260">
        <f t="shared" si="4"/>
        <v>13.711848</v>
      </c>
      <c r="S52" s="14"/>
      <c r="T52" s="29"/>
      <c r="U52" s="14"/>
      <c r="V52" s="29"/>
    </row>
    <row r="53" spans="1:22" ht="13.5" customHeight="1">
      <c r="A53" s="169"/>
      <c r="B53" s="55" t="s">
        <v>150</v>
      </c>
      <c r="C53" s="178">
        <v>130251</v>
      </c>
      <c r="D53" s="53">
        <v>11.23</v>
      </c>
      <c r="E53" s="55">
        <v>8</v>
      </c>
      <c r="F53" s="134">
        <f>+INDEX(Especificaciones!$C$5:$C$25,MATCH('Flexible - La Vict'!O53,Especificaciones!$B$5:$B$25,-1))</f>
        <v>0.2732</v>
      </c>
      <c r="G53" s="53">
        <v>2728.05</v>
      </c>
      <c r="H53" s="53">
        <v>1.46</v>
      </c>
      <c r="I53" s="53">
        <v>1</v>
      </c>
      <c r="J53" s="32">
        <f t="shared" si="0"/>
        <v>5.3440702781844802</v>
      </c>
      <c r="K53" s="135">
        <f t="shared" si="1"/>
        <v>7.9774399999999996</v>
      </c>
      <c r="L53" s="135" t="s">
        <v>17</v>
      </c>
      <c r="N53" s="38"/>
      <c r="O53" s="55">
        <v>203.2</v>
      </c>
      <c r="P53" s="21">
        <f t="shared" si="2"/>
        <v>1.8332000000000002</v>
      </c>
      <c r="Q53" s="21">
        <f t="shared" si="3"/>
        <v>2.7498000000000005</v>
      </c>
      <c r="R53" s="260">
        <f t="shared" si="4"/>
        <v>20.586836000000002</v>
      </c>
      <c r="S53" s="14"/>
      <c r="T53" s="29"/>
      <c r="U53" s="14"/>
      <c r="V53" s="29"/>
    </row>
    <row r="54" spans="1:22" ht="13.5" customHeight="1">
      <c r="A54" s="169"/>
      <c r="B54" s="55" t="s">
        <v>151</v>
      </c>
      <c r="C54" s="178" t="s">
        <v>152</v>
      </c>
      <c r="D54" s="53">
        <v>10.09</v>
      </c>
      <c r="E54" s="55">
        <v>12</v>
      </c>
      <c r="F54" s="134">
        <f>+INDEX(Especificaciones!$C$5:$C$25,MATCH('Flexible - La Vict'!O54,Especificaciones!$B$5:$B$25,-1))</f>
        <v>0.32400000000000001</v>
      </c>
      <c r="G54" s="53">
        <v>2735.4</v>
      </c>
      <c r="H54" s="53">
        <v>2.29</v>
      </c>
      <c r="I54" s="53">
        <v>1</v>
      </c>
      <c r="J54" s="32">
        <f t="shared" si="0"/>
        <v>7.0679012345679011</v>
      </c>
      <c r="K54" s="135">
        <f t="shared" si="1"/>
        <v>14.8392</v>
      </c>
      <c r="L54" s="135" t="s">
        <v>17</v>
      </c>
      <c r="N54" s="38"/>
      <c r="O54" s="55">
        <v>304.79999999999995</v>
      </c>
      <c r="P54" s="21">
        <f t="shared" si="2"/>
        <v>2.714</v>
      </c>
      <c r="Q54" s="21">
        <f t="shared" si="3"/>
        <v>4.0709999999999997</v>
      </c>
      <c r="R54" s="260">
        <f t="shared" si="4"/>
        <v>27.384259999999998</v>
      </c>
      <c r="S54" s="14"/>
      <c r="T54" s="29"/>
      <c r="U54" s="14"/>
      <c r="V54" s="29"/>
    </row>
    <row r="55" spans="1:22" ht="13.5" customHeight="1">
      <c r="A55" s="169"/>
      <c r="B55" s="55" t="s">
        <v>152</v>
      </c>
      <c r="C55" s="178">
        <v>125889</v>
      </c>
      <c r="D55" s="53">
        <v>14.58</v>
      </c>
      <c r="E55" s="55">
        <v>12</v>
      </c>
      <c r="F55" s="134">
        <f>+INDEX(Especificaciones!$C$5:$C$25,MATCH('Flexible - La Vict'!O55,Especificaciones!$B$5:$B$25,-1))</f>
        <v>0.32400000000000001</v>
      </c>
      <c r="G55" s="53">
        <v>2735.25</v>
      </c>
      <c r="H55" s="53">
        <v>2.29</v>
      </c>
      <c r="I55" s="53">
        <v>1</v>
      </c>
      <c r="J55" s="32">
        <f t="shared" si="0"/>
        <v>7.0679012345679011</v>
      </c>
      <c r="K55" s="135">
        <f t="shared" si="1"/>
        <v>14.8392</v>
      </c>
      <c r="L55" s="135" t="s">
        <v>17</v>
      </c>
      <c r="N55" s="38"/>
      <c r="O55" s="55">
        <v>304.79999999999995</v>
      </c>
      <c r="P55" s="21">
        <f t="shared" si="2"/>
        <v>2.714</v>
      </c>
      <c r="Q55" s="21">
        <f t="shared" si="3"/>
        <v>4.0709999999999997</v>
      </c>
      <c r="R55" s="260">
        <f t="shared" si="4"/>
        <v>39.570120000000003</v>
      </c>
      <c r="S55" s="14"/>
      <c r="T55" s="29"/>
      <c r="U55" s="14"/>
      <c r="V55" s="29"/>
    </row>
    <row r="56" spans="1:22" ht="13.5" customHeight="1">
      <c r="A56" s="169"/>
      <c r="B56" s="55">
        <v>125889</v>
      </c>
      <c r="C56" s="178">
        <v>125890</v>
      </c>
      <c r="D56" s="53">
        <v>53.53</v>
      </c>
      <c r="E56" s="55">
        <v>12</v>
      </c>
      <c r="F56" s="134">
        <f>+INDEX(Especificaciones!$C$5:$C$25,MATCH('Flexible - La Vict'!O56,Especificaciones!$B$5:$B$25,-1))</f>
        <v>0.32400000000000001</v>
      </c>
      <c r="G56" s="53">
        <v>2734.05</v>
      </c>
      <c r="H56" s="53">
        <v>2.35</v>
      </c>
      <c r="I56" s="53">
        <v>1</v>
      </c>
      <c r="J56" s="32">
        <f t="shared" si="0"/>
        <v>7.2530864197530862</v>
      </c>
      <c r="K56" s="135">
        <f t="shared" si="1"/>
        <v>15.228</v>
      </c>
      <c r="L56" s="135" t="s">
        <v>17</v>
      </c>
      <c r="N56" s="38"/>
      <c r="O56" s="55">
        <v>304.79999999999995</v>
      </c>
      <c r="P56" s="21">
        <f t="shared" si="2"/>
        <v>2.774</v>
      </c>
      <c r="Q56" s="21">
        <f t="shared" si="3"/>
        <v>4.1609999999999996</v>
      </c>
      <c r="R56" s="260">
        <f t="shared" si="4"/>
        <v>148.49222</v>
      </c>
      <c r="S56" s="14"/>
      <c r="T56" s="29"/>
      <c r="U56" s="14"/>
      <c r="V56" s="29"/>
    </row>
    <row r="57" spans="1:22" ht="13.5" customHeight="1">
      <c r="A57" s="169"/>
      <c r="B57" s="55">
        <v>78120</v>
      </c>
      <c r="C57" s="178">
        <v>77975</v>
      </c>
      <c r="D57" s="53">
        <v>50.07</v>
      </c>
      <c r="E57" s="55">
        <v>36</v>
      </c>
      <c r="F57" s="134">
        <f>+INDEX(Especificaciones!$C$5:$C$25,MATCH('Flexible - La Vict'!O57,Especificaciones!$B$5:$B$25,-1))</f>
        <v>1.0649999999999999</v>
      </c>
      <c r="G57" s="53">
        <v>2739.41</v>
      </c>
      <c r="H57" s="53">
        <v>2.77</v>
      </c>
      <c r="I57" s="53">
        <v>1.7999999999999998</v>
      </c>
      <c r="J57" s="32">
        <f t="shared" si="0"/>
        <v>1.1612270369305979</v>
      </c>
      <c r="K57" s="135">
        <f t="shared" si="1"/>
        <v>44.521444595919114</v>
      </c>
      <c r="L57" s="135" t="s">
        <v>17</v>
      </c>
      <c r="N57" s="38"/>
      <c r="O57" s="55">
        <v>914.4</v>
      </c>
      <c r="P57" s="21">
        <f t="shared" si="2"/>
        <v>3.9350000000000001</v>
      </c>
      <c r="Q57" s="21">
        <f t="shared" si="3"/>
        <v>5.9024999999999999</v>
      </c>
      <c r="R57" s="260">
        <f t="shared" si="4"/>
        <v>354.64580999999998</v>
      </c>
      <c r="S57" s="14"/>
      <c r="T57" s="29"/>
      <c r="U57" s="14"/>
      <c r="V57" s="29"/>
    </row>
    <row r="58" spans="1:22" ht="13.5" customHeight="1">
      <c r="A58" s="169"/>
      <c r="B58" s="55">
        <v>77975</v>
      </c>
      <c r="C58" s="178">
        <v>77724</v>
      </c>
      <c r="D58" s="53">
        <v>50.46</v>
      </c>
      <c r="E58" s="55">
        <v>36</v>
      </c>
      <c r="F58" s="134">
        <f>+INDEX(Especificaciones!$C$5:$C$25,MATCH('Flexible - La Vict'!O58,Especificaciones!$B$5:$B$25,-1))</f>
        <v>1.0649999999999999</v>
      </c>
      <c r="G58" s="53">
        <v>2738.83</v>
      </c>
      <c r="H58" s="53">
        <v>2.8</v>
      </c>
      <c r="I58" s="53">
        <v>1.7999999999999998</v>
      </c>
      <c r="J58" s="32">
        <f t="shared" si="0"/>
        <v>1.1704149270024655</v>
      </c>
      <c r="K58" s="135">
        <f t="shared" si="1"/>
        <v>44.873708301274519</v>
      </c>
      <c r="L58" s="135" t="s">
        <v>17</v>
      </c>
      <c r="N58" s="38"/>
      <c r="O58" s="55">
        <v>914.4</v>
      </c>
      <c r="P58" s="21">
        <f t="shared" si="2"/>
        <v>3.9649999999999999</v>
      </c>
      <c r="Q58" s="21">
        <f t="shared" si="3"/>
        <v>5.9474999999999998</v>
      </c>
      <c r="R58" s="260">
        <f t="shared" si="4"/>
        <v>360.13301999999993</v>
      </c>
      <c r="S58" s="14"/>
      <c r="T58" s="29"/>
      <c r="U58" s="14"/>
      <c r="V58" s="29"/>
    </row>
    <row r="59" spans="1:22" ht="13.5" customHeight="1">
      <c r="A59" s="169"/>
      <c r="B59" s="55">
        <v>78745</v>
      </c>
      <c r="C59" s="178">
        <v>77970</v>
      </c>
      <c r="D59" s="53">
        <v>51.41</v>
      </c>
      <c r="E59" s="55">
        <v>12</v>
      </c>
      <c r="F59" s="134">
        <f>+INDEX(Especificaciones!$C$5:$C$25,MATCH('Flexible - La Vict'!O59,Especificaciones!$B$5:$B$25,-1))</f>
        <v>0.32400000000000001</v>
      </c>
      <c r="G59" s="53">
        <v>2728.17</v>
      </c>
      <c r="H59" s="53">
        <v>1.9</v>
      </c>
      <c r="I59" s="53">
        <v>1</v>
      </c>
      <c r="J59" s="32">
        <f t="shared" si="0"/>
        <v>5.8641975308641969</v>
      </c>
      <c r="K59" s="135">
        <f t="shared" si="1"/>
        <v>12.311999999999998</v>
      </c>
      <c r="L59" s="135" t="s">
        <v>17</v>
      </c>
      <c r="N59" s="38"/>
      <c r="O59" s="55">
        <v>304.79999999999995</v>
      </c>
      <c r="P59" s="21">
        <f t="shared" si="2"/>
        <v>2.3239999999999998</v>
      </c>
      <c r="Q59" s="21">
        <f t="shared" si="3"/>
        <v>3.4859999999999998</v>
      </c>
      <c r="R59" s="260">
        <f t="shared" si="4"/>
        <v>119.47683999999998</v>
      </c>
      <c r="S59" s="14"/>
      <c r="T59" s="29"/>
      <c r="U59" s="14"/>
      <c r="V59" s="29"/>
    </row>
    <row r="60" spans="1:22" ht="13.5" customHeight="1">
      <c r="A60" s="169"/>
      <c r="B60" s="55">
        <v>77970</v>
      </c>
      <c r="C60" s="178" t="s">
        <v>153</v>
      </c>
      <c r="D60" s="53">
        <v>75.95</v>
      </c>
      <c r="E60" s="55">
        <v>12</v>
      </c>
      <c r="F60" s="134">
        <f>+INDEX(Especificaciones!$C$5:$C$25,MATCH('Flexible - La Vict'!O60,Especificaciones!$B$5:$B$25,-1))</f>
        <v>0.32400000000000001</v>
      </c>
      <c r="G60" s="53">
        <v>2726.46</v>
      </c>
      <c r="H60" s="53">
        <v>2.59</v>
      </c>
      <c r="I60" s="53">
        <v>1</v>
      </c>
      <c r="J60" s="32">
        <f t="shared" si="0"/>
        <v>7.9938271604938267</v>
      </c>
      <c r="K60" s="135">
        <f t="shared" si="1"/>
        <v>16.783199999999997</v>
      </c>
      <c r="L60" s="135" t="s">
        <v>17</v>
      </c>
      <c r="N60" s="38"/>
      <c r="O60" s="55">
        <v>304.79999999999995</v>
      </c>
      <c r="P60" s="21">
        <f t="shared" si="2"/>
        <v>3.0139999999999998</v>
      </c>
      <c r="Q60" s="21">
        <f t="shared" si="3"/>
        <v>4.5209999999999999</v>
      </c>
      <c r="R60" s="260">
        <f t="shared" si="4"/>
        <v>228.91329999999999</v>
      </c>
      <c r="S60" s="14"/>
      <c r="T60" s="29"/>
      <c r="U60" s="14"/>
      <c r="V60" s="29"/>
    </row>
    <row r="61" spans="1:22" ht="13.5" customHeight="1">
      <c r="A61" s="169"/>
      <c r="B61" s="55" t="s">
        <v>154</v>
      </c>
      <c r="C61" s="178">
        <v>78745</v>
      </c>
      <c r="D61" s="53">
        <v>65.150000000000006</v>
      </c>
      <c r="E61" s="55">
        <v>12</v>
      </c>
      <c r="F61" s="134">
        <f>+INDEX(Especificaciones!$C$5:$C$25,MATCH('Flexible - La Vict'!O61,Especificaciones!$B$5:$B$25,-1))</f>
        <v>0.32400000000000001</v>
      </c>
      <c r="G61" s="53">
        <v>2733.8</v>
      </c>
      <c r="H61" s="53">
        <v>1.37</v>
      </c>
      <c r="I61" s="53">
        <v>1</v>
      </c>
      <c r="J61" s="32">
        <f t="shared" si="0"/>
        <v>4.2283950617283956</v>
      </c>
      <c r="K61" s="135">
        <f t="shared" si="1"/>
        <v>8.877600000000001</v>
      </c>
      <c r="L61" s="135" t="s">
        <v>17</v>
      </c>
      <c r="N61" s="38"/>
      <c r="O61" s="55">
        <v>304.79999999999995</v>
      </c>
      <c r="P61" s="21">
        <f t="shared" si="2"/>
        <v>1.7940000000000003</v>
      </c>
      <c r="Q61" s="21">
        <f t="shared" si="3"/>
        <v>2.6910000000000003</v>
      </c>
      <c r="R61" s="260">
        <f t="shared" si="4"/>
        <v>116.87910000000002</v>
      </c>
      <c r="S61" s="14"/>
      <c r="T61" s="29"/>
      <c r="U61" s="14"/>
      <c r="V61" s="29"/>
    </row>
    <row r="62" spans="1:22" ht="13.5" customHeight="1">
      <c r="A62" s="169"/>
      <c r="B62" s="55" t="s">
        <v>155</v>
      </c>
      <c r="C62" s="178" t="s">
        <v>156</v>
      </c>
      <c r="D62" s="53">
        <v>28.52</v>
      </c>
      <c r="E62" s="55">
        <v>12</v>
      </c>
      <c r="F62" s="134">
        <f>+INDEX(Especificaciones!$C$5:$C$25,MATCH('Flexible - La Vict'!O62,Especificaciones!$B$5:$B$25,-1))</f>
        <v>0.32400000000000001</v>
      </c>
      <c r="G62" s="53">
        <v>2748.4</v>
      </c>
      <c r="H62" s="53">
        <v>1.4</v>
      </c>
      <c r="I62" s="53">
        <v>1</v>
      </c>
      <c r="J62" s="32">
        <f t="shared" si="0"/>
        <v>4.3209876543209873</v>
      </c>
      <c r="K62" s="135">
        <f t="shared" si="1"/>
        <v>9.0719999999999992</v>
      </c>
      <c r="L62" s="135" t="s">
        <v>17</v>
      </c>
      <c r="N62" s="38"/>
      <c r="O62" s="55">
        <v>304.79999999999995</v>
      </c>
      <c r="P62" s="21">
        <f t="shared" si="2"/>
        <v>1.8240000000000001</v>
      </c>
      <c r="Q62" s="21">
        <f t="shared" si="3"/>
        <v>2.7360000000000002</v>
      </c>
      <c r="R62" s="260">
        <f t="shared" si="4"/>
        <v>52.020479999999999</v>
      </c>
      <c r="S62" s="14"/>
      <c r="T62" s="29"/>
      <c r="U62" s="14"/>
      <c r="V62" s="29"/>
    </row>
    <row r="63" spans="1:22" ht="13.5" customHeight="1">
      <c r="A63" s="169"/>
      <c r="B63" s="55" t="s">
        <v>156</v>
      </c>
      <c r="C63" s="178">
        <v>79268</v>
      </c>
      <c r="D63" s="53">
        <v>9.8000000000000007</v>
      </c>
      <c r="E63" s="55">
        <v>12</v>
      </c>
      <c r="F63" s="134">
        <f>+INDEX(Especificaciones!$C$5:$C$25,MATCH('Flexible - La Vict'!O63,Especificaciones!$B$5:$B$25,-1))</f>
        <v>0.32400000000000001</v>
      </c>
      <c r="G63" s="53">
        <v>2746.97</v>
      </c>
      <c r="H63" s="53">
        <v>1.1599999999999999</v>
      </c>
      <c r="I63" s="53">
        <v>1</v>
      </c>
      <c r="J63" s="32">
        <f t="shared" si="0"/>
        <v>3.5802469135802464</v>
      </c>
      <c r="K63" s="135">
        <f t="shared" si="1"/>
        <v>7.5167999999999981</v>
      </c>
      <c r="L63" s="135" t="s">
        <v>17</v>
      </c>
      <c r="N63" s="38"/>
      <c r="O63" s="55">
        <v>304.79999999999995</v>
      </c>
      <c r="P63" s="21">
        <f t="shared" si="2"/>
        <v>1.5840000000000001</v>
      </c>
      <c r="Q63" s="21">
        <f t="shared" si="3"/>
        <v>2.3760000000000003</v>
      </c>
      <c r="R63" s="260">
        <f t="shared" si="4"/>
        <v>15.523200000000001</v>
      </c>
      <c r="S63" s="14"/>
      <c r="T63" s="29"/>
      <c r="U63" s="14"/>
      <c r="V63" s="29"/>
    </row>
    <row r="64" spans="1:22" ht="13.5" customHeight="1">
      <c r="A64" s="169"/>
      <c r="B64" s="313" t="s">
        <v>245</v>
      </c>
      <c r="C64" s="313"/>
      <c r="D64" s="313"/>
      <c r="E64" s="313"/>
      <c r="F64" s="313"/>
      <c r="G64" s="313"/>
      <c r="H64" s="313"/>
      <c r="I64" s="313"/>
      <c r="J64" s="313"/>
      <c r="K64" s="313"/>
      <c r="L64" s="313"/>
      <c r="N64" s="38"/>
      <c r="O64" s="55"/>
      <c r="P64" s="21"/>
      <c r="Q64" s="21"/>
      <c r="R64" s="260">
        <f t="shared" si="4"/>
        <v>0</v>
      </c>
      <c r="S64" s="14"/>
      <c r="T64" s="29"/>
      <c r="U64" s="14"/>
      <c r="V64" s="29"/>
    </row>
    <row r="65" spans="1:22" ht="13.5" customHeight="1">
      <c r="A65" s="169"/>
      <c r="B65" s="55" t="s">
        <v>251</v>
      </c>
      <c r="C65" s="178">
        <v>77724</v>
      </c>
      <c r="D65" s="53">
        <v>7.7</v>
      </c>
      <c r="E65" s="55">
        <v>10</v>
      </c>
      <c r="F65" s="134">
        <f>+INDEX(Especificaciones!$C$5:$C$25,MATCH('Flexible - La Vict'!O65,Especificaciones!$B$5:$B$25,-1))</f>
        <v>0.2732</v>
      </c>
      <c r="G65" s="53">
        <v>2739.82</v>
      </c>
      <c r="H65" s="53">
        <v>1</v>
      </c>
      <c r="I65" s="53">
        <v>1</v>
      </c>
      <c r="J65" s="32">
        <f t="shared" ref="J65:J81" si="5">IF(I65&gt;=2*F65,H65/F65,(1-EXP(-2*$D$38*$D$39*H65/I65))/(2*$D$38*$D$39))</f>
        <v>3.6603221083455346</v>
      </c>
      <c r="K65" s="135">
        <f t="shared" ref="K65:K81" si="6">IF(I65&gt;=2*F65,J65*$G$38*F65^2,J65*$G$38*I65*F65)</f>
        <v>5.4639999999999995</v>
      </c>
      <c r="L65" s="135" t="s">
        <v>17</v>
      </c>
      <c r="N65" s="38"/>
      <c r="O65" s="55">
        <v>250</v>
      </c>
      <c r="P65" s="21">
        <f>+F65+H65+0.1</f>
        <v>1.3732000000000002</v>
      </c>
      <c r="Q65" s="21">
        <f t="shared" ref="Q65:Q81" si="7">P65*1.5</f>
        <v>2.0598000000000001</v>
      </c>
      <c r="R65" s="260">
        <f t="shared" si="4"/>
        <v>10.573640000000001</v>
      </c>
      <c r="S65" s="14"/>
      <c r="T65" s="29"/>
      <c r="U65" s="14"/>
      <c r="V65" s="29"/>
    </row>
    <row r="66" spans="1:22" ht="13.5" customHeight="1">
      <c r="A66" s="169"/>
      <c r="B66" s="55" t="s">
        <v>252</v>
      </c>
      <c r="C66" s="178">
        <v>77724</v>
      </c>
      <c r="D66" s="53">
        <v>9</v>
      </c>
      <c r="E66" s="55">
        <v>10</v>
      </c>
      <c r="F66" s="134">
        <f>+INDEX(Especificaciones!$C$5:$C$25,MATCH('Flexible - La Vict'!O66,Especificaciones!$B$5:$B$25,-1))</f>
        <v>0.2732</v>
      </c>
      <c r="G66" s="53">
        <v>2739.82</v>
      </c>
      <c r="H66" s="53">
        <v>1</v>
      </c>
      <c r="I66" s="53">
        <v>1</v>
      </c>
      <c r="J66" s="32">
        <f t="shared" si="5"/>
        <v>3.6603221083455346</v>
      </c>
      <c r="K66" s="135">
        <f t="shared" si="6"/>
        <v>5.4639999999999995</v>
      </c>
      <c r="L66" s="135" t="s">
        <v>17</v>
      </c>
      <c r="N66" s="38"/>
      <c r="O66" s="55">
        <v>250</v>
      </c>
      <c r="P66" s="21">
        <f t="shared" ref="P66:P81" si="8">+F66+H66+0.1</f>
        <v>1.3732000000000002</v>
      </c>
      <c r="Q66" s="21">
        <f t="shared" si="7"/>
        <v>2.0598000000000001</v>
      </c>
      <c r="R66" s="260">
        <f t="shared" si="4"/>
        <v>12.358800000000002</v>
      </c>
      <c r="S66" s="14"/>
      <c r="T66" s="29"/>
      <c r="U66" s="14"/>
      <c r="V66" s="29"/>
    </row>
    <row r="67" spans="1:22" ht="13.5" customHeight="1">
      <c r="A67" s="169"/>
      <c r="B67" s="55" t="s">
        <v>253</v>
      </c>
      <c r="C67" s="178">
        <v>125889</v>
      </c>
      <c r="D67" s="53">
        <v>1.5</v>
      </c>
      <c r="E67" s="55">
        <v>10</v>
      </c>
      <c r="F67" s="134">
        <f>+INDEX(Especificaciones!$C$5:$C$25,MATCH('Flexible - La Vict'!O67,Especificaciones!$B$5:$B$25,-1))</f>
        <v>0.2732</v>
      </c>
      <c r="G67" s="53">
        <v>2735.31</v>
      </c>
      <c r="H67" s="53">
        <v>1.1200000000000001</v>
      </c>
      <c r="I67" s="53">
        <v>1</v>
      </c>
      <c r="J67" s="32">
        <f t="shared" si="5"/>
        <v>4.0995607613469991</v>
      </c>
      <c r="K67" s="135">
        <f t="shared" si="6"/>
        <v>6.1196800000000007</v>
      </c>
      <c r="L67" s="135" t="s">
        <v>17</v>
      </c>
      <c r="N67" s="38"/>
      <c r="O67" s="55">
        <v>250</v>
      </c>
      <c r="P67" s="21">
        <f t="shared" si="8"/>
        <v>1.4932000000000003</v>
      </c>
      <c r="Q67" s="21">
        <f t="shared" si="7"/>
        <v>2.2398000000000007</v>
      </c>
      <c r="R67" s="260">
        <f t="shared" si="4"/>
        <v>2.2398000000000007</v>
      </c>
      <c r="S67" s="14"/>
      <c r="T67" s="29"/>
      <c r="U67" s="14"/>
      <c r="V67" s="29"/>
    </row>
    <row r="68" spans="1:22" ht="13.5" customHeight="1">
      <c r="A68" s="169"/>
      <c r="B68" s="55" t="s">
        <v>254</v>
      </c>
      <c r="C68" s="178">
        <v>125889</v>
      </c>
      <c r="D68" s="53">
        <v>2.4</v>
      </c>
      <c r="E68" s="55">
        <v>10</v>
      </c>
      <c r="F68" s="134">
        <f>+INDEX(Especificaciones!$C$5:$C$25,MATCH('Flexible - La Vict'!O68,Especificaciones!$B$5:$B$25,-1))</f>
        <v>0.2732</v>
      </c>
      <c r="G68" s="53">
        <v>2735.31</v>
      </c>
      <c r="H68" s="53">
        <v>1.1399999999999999</v>
      </c>
      <c r="I68" s="53">
        <v>1</v>
      </c>
      <c r="J68" s="32">
        <f t="shared" si="5"/>
        <v>4.1727672035139092</v>
      </c>
      <c r="K68" s="135">
        <f t="shared" si="6"/>
        <v>6.2289599999999998</v>
      </c>
      <c r="L68" s="135" t="s">
        <v>17</v>
      </c>
      <c r="N68" s="38"/>
      <c r="O68" s="55">
        <v>250</v>
      </c>
      <c r="P68" s="21">
        <f t="shared" si="8"/>
        <v>1.5131999999999999</v>
      </c>
      <c r="Q68" s="21">
        <f t="shared" si="7"/>
        <v>2.2698</v>
      </c>
      <c r="R68" s="260">
        <f t="shared" si="4"/>
        <v>3.6316799999999994</v>
      </c>
      <c r="S68" s="14"/>
      <c r="T68" s="29"/>
      <c r="U68" s="14"/>
      <c r="V68" s="29"/>
    </row>
    <row r="69" spans="1:22" ht="13.5" customHeight="1">
      <c r="A69" s="169"/>
      <c r="B69" s="55" t="s">
        <v>255</v>
      </c>
      <c r="C69" s="178">
        <v>125890</v>
      </c>
      <c r="D69" s="53">
        <v>16.600000000000001</v>
      </c>
      <c r="E69" s="55">
        <v>10</v>
      </c>
      <c r="F69" s="134">
        <f>+INDEX(Especificaciones!$C$5:$C$25,MATCH('Flexible - La Vict'!O69,Especificaciones!$B$5:$B$25,-1))</f>
        <v>0.2732</v>
      </c>
      <c r="G69" s="53">
        <v>2731.58</v>
      </c>
      <c r="H69" s="53">
        <v>1.1200000000000001</v>
      </c>
      <c r="I69" s="53">
        <v>1</v>
      </c>
      <c r="J69" s="32">
        <f t="shared" si="5"/>
        <v>4.0995607613469991</v>
      </c>
      <c r="K69" s="135">
        <f t="shared" si="6"/>
        <v>6.1196800000000007</v>
      </c>
      <c r="L69" s="135" t="s">
        <v>17</v>
      </c>
      <c r="N69" s="38"/>
      <c r="O69" s="55">
        <v>250</v>
      </c>
      <c r="P69" s="21">
        <f t="shared" si="8"/>
        <v>1.4932000000000003</v>
      </c>
      <c r="Q69" s="21">
        <f t="shared" si="7"/>
        <v>2.2398000000000007</v>
      </c>
      <c r="R69" s="260">
        <f t="shared" si="4"/>
        <v>24.787120000000009</v>
      </c>
      <c r="S69" s="14"/>
      <c r="T69" s="29"/>
      <c r="U69" s="14"/>
      <c r="V69" s="29"/>
    </row>
    <row r="70" spans="1:22" ht="13.5" customHeight="1">
      <c r="A70" s="169"/>
      <c r="B70" s="55" t="s">
        <v>256</v>
      </c>
      <c r="C70" s="178">
        <v>125890</v>
      </c>
      <c r="D70" s="53">
        <v>15.8</v>
      </c>
      <c r="E70" s="55">
        <v>10</v>
      </c>
      <c r="F70" s="134">
        <f>+INDEX(Especificaciones!$C$5:$C$25,MATCH('Flexible - La Vict'!O70,Especificaciones!$B$5:$B$25,-1))</f>
        <v>0.2732</v>
      </c>
      <c r="G70" s="53">
        <v>2731.47</v>
      </c>
      <c r="H70" s="53">
        <v>1.1399999999999999</v>
      </c>
      <c r="I70" s="53">
        <v>1</v>
      </c>
      <c r="J70" s="32">
        <f t="shared" si="5"/>
        <v>4.1727672035139092</v>
      </c>
      <c r="K70" s="135">
        <f t="shared" si="6"/>
        <v>6.2289599999999998</v>
      </c>
      <c r="L70" s="135" t="s">
        <v>17</v>
      </c>
      <c r="N70" s="38"/>
      <c r="O70" s="55">
        <v>250</v>
      </c>
      <c r="P70" s="21">
        <f t="shared" si="8"/>
        <v>1.5131999999999999</v>
      </c>
      <c r="Q70" s="21">
        <f t="shared" si="7"/>
        <v>2.2698</v>
      </c>
      <c r="R70" s="260">
        <f t="shared" si="4"/>
        <v>23.908559999999998</v>
      </c>
      <c r="S70" s="14"/>
      <c r="T70" s="29"/>
      <c r="U70" s="14"/>
      <c r="V70" s="29"/>
    </row>
    <row r="71" spans="1:22" ht="13.5" customHeight="1">
      <c r="A71" s="169"/>
      <c r="B71" s="55" t="s">
        <v>257</v>
      </c>
      <c r="C71" s="178">
        <v>77724</v>
      </c>
      <c r="D71" s="53">
        <v>9.6999999999999993</v>
      </c>
      <c r="E71" s="55">
        <v>10</v>
      </c>
      <c r="F71" s="134">
        <f>+INDEX(Especificaciones!$C$5:$C$25,MATCH('Flexible - La Vict'!O71,Especificaciones!$B$5:$B$25,-1))</f>
        <v>0.2732</v>
      </c>
      <c r="G71" s="53">
        <v>2739.9</v>
      </c>
      <c r="H71" s="53">
        <v>1</v>
      </c>
      <c r="I71" s="53">
        <v>1</v>
      </c>
      <c r="J71" s="32">
        <f t="shared" si="5"/>
        <v>3.6603221083455346</v>
      </c>
      <c r="K71" s="135">
        <f t="shared" si="6"/>
        <v>5.4639999999999995</v>
      </c>
      <c r="L71" s="135" t="s">
        <v>17</v>
      </c>
      <c r="N71" s="38"/>
      <c r="O71" s="55">
        <v>250</v>
      </c>
      <c r="P71" s="21">
        <f t="shared" si="8"/>
        <v>1.3732000000000002</v>
      </c>
      <c r="Q71" s="21">
        <f t="shared" si="7"/>
        <v>2.0598000000000001</v>
      </c>
      <c r="R71" s="260">
        <f t="shared" si="4"/>
        <v>13.320040000000001</v>
      </c>
      <c r="S71" s="14"/>
      <c r="T71" s="29"/>
      <c r="U71" s="14"/>
      <c r="V71" s="29"/>
    </row>
    <row r="72" spans="1:22" ht="13.5" customHeight="1">
      <c r="A72" s="169"/>
      <c r="B72" s="55" t="s">
        <v>258</v>
      </c>
      <c r="C72" s="178">
        <v>77975</v>
      </c>
      <c r="D72" s="53">
        <v>6.7</v>
      </c>
      <c r="E72" s="55">
        <v>10</v>
      </c>
      <c r="F72" s="134">
        <f>+INDEX(Especificaciones!$C$5:$C$25,MATCH('Flexible - La Vict'!O72,Especificaciones!$B$5:$B$25,-1))</f>
        <v>0.2732</v>
      </c>
      <c r="G72" s="53">
        <v>2740.29</v>
      </c>
      <c r="H72" s="53">
        <v>1.47</v>
      </c>
      <c r="I72" s="53">
        <v>1</v>
      </c>
      <c r="J72" s="32">
        <f t="shared" si="5"/>
        <v>5.3806734992679353</v>
      </c>
      <c r="K72" s="135">
        <f t="shared" si="6"/>
        <v>8.0320799999999988</v>
      </c>
      <c r="L72" s="135" t="s">
        <v>17</v>
      </c>
      <c r="N72" s="38"/>
      <c r="O72" s="55">
        <v>250</v>
      </c>
      <c r="P72" s="21">
        <f t="shared" si="8"/>
        <v>1.8431999999999999</v>
      </c>
      <c r="Q72" s="21">
        <f t="shared" si="7"/>
        <v>2.7648000000000001</v>
      </c>
      <c r="R72" s="260">
        <f t="shared" si="4"/>
        <v>12.34944</v>
      </c>
      <c r="S72" s="14"/>
      <c r="T72" s="29"/>
      <c r="U72" s="14"/>
      <c r="V72" s="29"/>
    </row>
    <row r="73" spans="1:22" ht="13.5" customHeight="1">
      <c r="A73" s="169"/>
      <c r="B73" s="55" t="s">
        <v>259</v>
      </c>
      <c r="C73" s="178">
        <v>78120</v>
      </c>
      <c r="D73" s="53">
        <v>8</v>
      </c>
      <c r="E73" s="55">
        <v>10</v>
      </c>
      <c r="F73" s="134">
        <f>+INDEX(Especificaciones!$C$5:$C$25,MATCH('Flexible - La Vict'!O73,Especificaciones!$B$5:$B$25,-1))</f>
        <v>0.2732</v>
      </c>
      <c r="G73" s="53">
        <v>2739.54</v>
      </c>
      <c r="H73" s="53">
        <v>1.01</v>
      </c>
      <c r="I73" s="53">
        <v>1</v>
      </c>
      <c r="J73" s="32">
        <f t="shared" si="5"/>
        <v>3.6969253294289897</v>
      </c>
      <c r="K73" s="135">
        <f t="shared" si="6"/>
        <v>5.5186399999999995</v>
      </c>
      <c r="L73" s="135" t="s">
        <v>17</v>
      </c>
      <c r="N73" s="38"/>
      <c r="O73" s="55">
        <v>250</v>
      </c>
      <c r="P73" s="21">
        <f t="shared" si="8"/>
        <v>1.3832</v>
      </c>
      <c r="Q73" s="21">
        <f t="shared" si="7"/>
        <v>2.0747999999999998</v>
      </c>
      <c r="R73" s="260">
        <f t="shared" si="4"/>
        <v>11.0656</v>
      </c>
      <c r="S73" s="14"/>
      <c r="T73" s="29"/>
      <c r="U73" s="14"/>
      <c r="V73" s="29"/>
    </row>
    <row r="74" spans="1:22" ht="13.5" customHeight="1">
      <c r="A74" s="169"/>
      <c r="B74" s="55" t="s">
        <v>260</v>
      </c>
      <c r="C74" s="178" t="s">
        <v>154</v>
      </c>
      <c r="D74" s="53">
        <v>1.5</v>
      </c>
      <c r="E74" s="55">
        <v>10</v>
      </c>
      <c r="F74" s="134">
        <f>+INDEX(Especificaciones!$C$5:$C$25,MATCH('Flexible - La Vict'!O74,Especificaciones!$B$5:$B$25,-1))</f>
        <v>0.2732</v>
      </c>
      <c r="G74" s="53">
        <v>2734.33</v>
      </c>
      <c r="H74" s="53">
        <v>1.7</v>
      </c>
      <c r="I74" s="53">
        <v>1</v>
      </c>
      <c r="J74" s="32">
        <f t="shared" si="5"/>
        <v>6.2225475841874083</v>
      </c>
      <c r="K74" s="135">
        <f t="shared" si="6"/>
        <v>9.2888000000000002</v>
      </c>
      <c r="L74" s="135" t="s">
        <v>17</v>
      </c>
      <c r="N74" s="38"/>
      <c r="O74" s="55">
        <v>250</v>
      </c>
      <c r="P74" s="21">
        <f t="shared" si="8"/>
        <v>2.0731999999999999</v>
      </c>
      <c r="Q74" s="21">
        <f t="shared" si="7"/>
        <v>3.1097999999999999</v>
      </c>
      <c r="R74" s="260">
        <f t="shared" si="4"/>
        <v>3.1097999999999999</v>
      </c>
      <c r="S74" s="14"/>
      <c r="T74" s="29"/>
      <c r="U74" s="14"/>
      <c r="V74" s="29"/>
    </row>
    <row r="75" spans="1:22" ht="13.5" customHeight="1">
      <c r="A75" s="169"/>
      <c r="B75" s="55" t="s">
        <v>261</v>
      </c>
      <c r="C75" s="178" t="s">
        <v>154</v>
      </c>
      <c r="D75" s="53">
        <v>2</v>
      </c>
      <c r="E75" s="55">
        <v>10</v>
      </c>
      <c r="F75" s="134">
        <f>+INDEX(Especificaciones!$C$5:$C$25,MATCH('Flexible - La Vict'!O75,Especificaciones!$B$5:$B$25,-1))</f>
        <v>0.2732</v>
      </c>
      <c r="G75" s="53">
        <v>2734.33</v>
      </c>
      <c r="H75" s="53">
        <v>1.7</v>
      </c>
      <c r="I75" s="53">
        <v>1</v>
      </c>
      <c r="J75" s="32">
        <f t="shared" si="5"/>
        <v>6.2225475841874083</v>
      </c>
      <c r="K75" s="135">
        <f t="shared" si="6"/>
        <v>9.2888000000000002</v>
      </c>
      <c r="L75" s="135" t="s">
        <v>17</v>
      </c>
      <c r="N75" s="38"/>
      <c r="O75" s="55">
        <v>250</v>
      </c>
      <c r="P75" s="21">
        <f t="shared" si="8"/>
        <v>2.0731999999999999</v>
      </c>
      <c r="Q75" s="21">
        <f t="shared" si="7"/>
        <v>3.1097999999999999</v>
      </c>
      <c r="R75" s="260">
        <f t="shared" si="4"/>
        <v>4.1463999999999999</v>
      </c>
      <c r="S75" s="14"/>
      <c r="T75" s="29"/>
      <c r="U75" s="14"/>
      <c r="V75" s="29"/>
    </row>
    <row r="76" spans="1:22" ht="13.5" customHeight="1">
      <c r="A76" s="169"/>
      <c r="B76" s="55" t="s">
        <v>262</v>
      </c>
      <c r="C76" s="178">
        <v>78745</v>
      </c>
      <c r="D76" s="53">
        <v>11.7</v>
      </c>
      <c r="E76" s="55">
        <v>10</v>
      </c>
      <c r="F76" s="134">
        <f>+INDEX(Especificaciones!$C$5:$C$25,MATCH('Flexible - La Vict'!O76,Especificaciones!$B$5:$B$25,-1))</f>
        <v>0.2732</v>
      </c>
      <c r="G76" s="53">
        <v>2728.87</v>
      </c>
      <c r="H76" s="53">
        <v>1.1399999999999999</v>
      </c>
      <c r="I76" s="53">
        <v>1</v>
      </c>
      <c r="J76" s="32">
        <f t="shared" si="5"/>
        <v>4.1727672035139092</v>
      </c>
      <c r="K76" s="135">
        <f t="shared" si="6"/>
        <v>6.2289599999999998</v>
      </c>
      <c r="L76" s="135" t="s">
        <v>17</v>
      </c>
      <c r="N76" s="38"/>
      <c r="O76" s="55">
        <v>250</v>
      </c>
      <c r="P76" s="21">
        <f t="shared" si="8"/>
        <v>1.5131999999999999</v>
      </c>
      <c r="Q76" s="21">
        <f t="shared" si="7"/>
        <v>2.2698</v>
      </c>
      <c r="R76" s="260">
        <f t="shared" si="4"/>
        <v>17.704439999999998</v>
      </c>
      <c r="S76" s="14"/>
      <c r="T76" s="29"/>
      <c r="U76" s="14"/>
      <c r="V76" s="29"/>
    </row>
    <row r="77" spans="1:22" ht="13.5" customHeight="1">
      <c r="A77" s="169"/>
      <c r="B77" s="55" t="s">
        <v>263</v>
      </c>
      <c r="C77" s="178">
        <v>78745</v>
      </c>
      <c r="D77" s="53">
        <v>12.1</v>
      </c>
      <c r="E77" s="55">
        <v>10</v>
      </c>
      <c r="F77" s="134">
        <f>+INDEX(Especificaciones!$C$5:$C$25,MATCH('Flexible - La Vict'!O77,Especificaciones!$B$5:$B$25,-1))</f>
        <v>0.2732</v>
      </c>
      <c r="G77" s="53">
        <v>2728.87</v>
      </c>
      <c r="H77" s="53">
        <v>1.17</v>
      </c>
      <c r="I77" s="53">
        <v>1</v>
      </c>
      <c r="J77" s="32">
        <f>IF(I77&gt;=2*F77,H77/F77,(1-EXP(-2*$D$38*$D$39*H77/I77))/(2*$D$38*$D$39))</f>
        <v>4.2825768667642752</v>
      </c>
      <c r="K77" s="135">
        <f>IF(I77&gt;=2*F77,J77*$G$38*F77^2,J77*$G$38*I77*F77)</f>
        <v>6.392879999999999</v>
      </c>
      <c r="L77" s="135" t="s">
        <v>17</v>
      </c>
      <c r="N77" s="38"/>
      <c r="O77" s="55">
        <v>250</v>
      </c>
      <c r="P77" s="21">
        <f t="shared" si="8"/>
        <v>1.5432000000000001</v>
      </c>
      <c r="Q77" s="21">
        <f t="shared" si="7"/>
        <v>2.3148</v>
      </c>
      <c r="R77" s="260">
        <f t="shared" si="4"/>
        <v>18.672720000000002</v>
      </c>
      <c r="S77" s="14"/>
      <c r="T77" s="29"/>
      <c r="U77" s="14"/>
      <c r="V77" s="29"/>
    </row>
    <row r="78" spans="1:22" ht="13.5" customHeight="1">
      <c r="A78" s="169"/>
      <c r="B78" s="55" t="s">
        <v>264</v>
      </c>
      <c r="C78" s="178">
        <v>77970</v>
      </c>
      <c r="D78" s="53">
        <v>7.3</v>
      </c>
      <c r="E78" s="55">
        <v>10</v>
      </c>
      <c r="F78" s="134">
        <f>+INDEX(Especificaciones!$C$5:$C$25,MATCH('Flexible - La Vict'!O78,Especificaciones!$B$5:$B$25,-1))</f>
        <v>0.2732</v>
      </c>
      <c r="G78" s="53">
        <v>2728.36</v>
      </c>
      <c r="H78" s="53">
        <v>1.1299999999999999</v>
      </c>
      <c r="I78" s="53">
        <v>1</v>
      </c>
      <c r="J78" s="32">
        <f t="shared" si="5"/>
        <v>4.1361639824304532</v>
      </c>
      <c r="K78" s="135">
        <f t="shared" si="6"/>
        <v>6.1743199999999989</v>
      </c>
      <c r="L78" s="135" t="s">
        <v>17</v>
      </c>
      <c r="N78" s="38"/>
      <c r="O78" s="55">
        <v>250</v>
      </c>
      <c r="P78" s="21">
        <f t="shared" si="8"/>
        <v>1.5032000000000001</v>
      </c>
      <c r="Q78" s="21">
        <f t="shared" si="7"/>
        <v>2.2548000000000004</v>
      </c>
      <c r="R78" s="260">
        <f t="shared" si="4"/>
        <v>10.97336</v>
      </c>
      <c r="S78" s="14"/>
      <c r="T78" s="29"/>
      <c r="U78" s="14"/>
      <c r="V78" s="29"/>
    </row>
    <row r="79" spans="1:22" ht="13.5" customHeight="1">
      <c r="A79" s="169"/>
      <c r="B79" s="55" t="s">
        <v>265</v>
      </c>
      <c r="C79" s="178">
        <v>77970</v>
      </c>
      <c r="D79" s="53">
        <v>2.8</v>
      </c>
      <c r="E79" s="55">
        <v>10</v>
      </c>
      <c r="F79" s="134">
        <f>+INDEX(Especificaciones!$C$5:$C$25,MATCH('Flexible - La Vict'!O79,Especificaciones!$B$5:$B$25,-1))</f>
        <v>0.2732</v>
      </c>
      <c r="G79" s="53">
        <v>2728.03</v>
      </c>
      <c r="H79" s="53">
        <v>1.08</v>
      </c>
      <c r="I79" s="53">
        <v>1</v>
      </c>
      <c r="J79" s="32">
        <f t="shared" si="5"/>
        <v>3.9531478770131776</v>
      </c>
      <c r="K79" s="135">
        <f t="shared" si="6"/>
        <v>5.9011200000000006</v>
      </c>
      <c r="L79" s="135" t="s">
        <v>17</v>
      </c>
      <c r="N79" s="38"/>
      <c r="O79" s="55">
        <v>250</v>
      </c>
      <c r="P79" s="21">
        <f t="shared" si="8"/>
        <v>1.4532000000000003</v>
      </c>
      <c r="Q79" s="21">
        <f t="shared" si="7"/>
        <v>2.1798000000000002</v>
      </c>
      <c r="R79" s="260">
        <f t="shared" si="4"/>
        <v>4.0689600000000006</v>
      </c>
      <c r="S79" s="14"/>
      <c r="T79" s="29"/>
      <c r="U79" s="14"/>
      <c r="V79" s="29"/>
    </row>
    <row r="80" spans="1:22" ht="13.5" customHeight="1">
      <c r="A80" s="169"/>
      <c r="B80" s="55" t="s">
        <v>266</v>
      </c>
      <c r="C80" s="178">
        <v>77970</v>
      </c>
      <c r="D80" s="53">
        <v>9.6999999999999993</v>
      </c>
      <c r="E80" s="55">
        <v>10</v>
      </c>
      <c r="F80" s="134">
        <f>+INDEX(Especificaciones!$C$5:$C$25,MATCH('Flexible - La Vict'!O80,Especificaciones!$B$5:$B$25,-1))</f>
        <v>0.2732</v>
      </c>
      <c r="G80" s="53">
        <v>2727.74</v>
      </c>
      <c r="H80" s="53">
        <v>1.5</v>
      </c>
      <c r="I80" s="53">
        <v>1</v>
      </c>
      <c r="J80" s="32">
        <f t="shared" si="5"/>
        <v>5.4904831625183013</v>
      </c>
      <c r="K80" s="135">
        <f t="shared" si="6"/>
        <v>8.1959999999999997</v>
      </c>
      <c r="L80" s="135" t="s">
        <v>17</v>
      </c>
      <c r="N80" s="38"/>
      <c r="O80" s="55">
        <v>250</v>
      </c>
      <c r="P80" s="21">
        <f t="shared" si="8"/>
        <v>1.8732000000000002</v>
      </c>
      <c r="Q80" s="21">
        <f t="shared" si="7"/>
        <v>2.8098000000000001</v>
      </c>
      <c r="R80" s="260">
        <f t="shared" si="4"/>
        <v>18.17004</v>
      </c>
      <c r="S80" s="14"/>
      <c r="T80" s="29"/>
      <c r="U80" s="14"/>
      <c r="V80" s="29"/>
    </row>
    <row r="81" spans="1:26" ht="13.5" customHeight="1">
      <c r="A81" s="169"/>
      <c r="B81" s="55" t="s">
        <v>267</v>
      </c>
      <c r="C81" s="178">
        <v>77970</v>
      </c>
      <c r="D81" s="53">
        <v>3.6</v>
      </c>
      <c r="E81" s="55">
        <v>10</v>
      </c>
      <c r="F81" s="134">
        <f>+INDEX(Especificaciones!$C$5:$C$25,MATCH('Flexible - La Vict'!O81,Especificaciones!$B$5:$B$25,-1))</f>
        <v>0.2732</v>
      </c>
      <c r="G81" s="53">
        <v>2727.82</v>
      </c>
      <c r="H81" s="53">
        <v>1.3</v>
      </c>
      <c r="I81" s="53">
        <v>1</v>
      </c>
      <c r="J81" s="32">
        <f t="shared" si="5"/>
        <v>4.7584187408491951</v>
      </c>
      <c r="K81" s="135">
        <f t="shared" si="6"/>
        <v>7.1032000000000002</v>
      </c>
      <c r="L81" s="135" t="s">
        <v>17</v>
      </c>
      <c r="N81" s="38"/>
      <c r="O81" s="55">
        <v>250</v>
      </c>
      <c r="P81" s="21">
        <f t="shared" si="8"/>
        <v>1.6732</v>
      </c>
      <c r="Q81" s="21">
        <f t="shared" si="7"/>
        <v>2.5098000000000003</v>
      </c>
      <c r="R81" s="260">
        <f t="shared" si="4"/>
        <v>6.0235200000000004</v>
      </c>
      <c r="S81" s="14"/>
      <c r="T81" s="29"/>
      <c r="U81" s="14"/>
      <c r="V81" s="29"/>
    </row>
    <row r="82" spans="1:26">
      <c r="A82" s="126"/>
      <c r="B82" s="126"/>
      <c r="C82" s="35"/>
      <c r="D82" s="71"/>
      <c r="E82" s="36"/>
      <c r="F82" s="35"/>
      <c r="H82" s="35"/>
      <c r="I82" s="35"/>
      <c r="J82" s="60"/>
      <c r="K82" s="36"/>
      <c r="L82" s="36"/>
      <c r="M82" s="37"/>
      <c r="N82" s="38"/>
      <c r="O82" s="55"/>
      <c r="P82" s="21"/>
      <c r="Q82" s="21"/>
      <c r="R82" s="262">
        <f>+SUM(R42:R81)</f>
        <v>3039.0271780000003</v>
      </c>
    </row>
    <row r="83" spans="1:26">
      <c r="A83" s="19" t="s">
        <v>18</v>
      </c>
      <c r="B83" s="39"/>
      <c r="C83" s="19"/>
      <c r="D83" s="19"/>
      <c r="E83" s="19"/>
      <c r="F83" s="19"/>
      <c r="G83" s="19"/>
      <c r="H83" s="19"/>
      <c r="I83" s="19"/>
      <c r="J83" s="19"/>
      <c r="K83" s="19"/>
      <c r="L83" s="19"/>
    </row>
    <row r="84" spans="1:26">
      <c r="A84" s="19"/>
      <c r="B84" s="19"/>
      <c r="C84" s="19"/>
      <c r="D84" s="19"/>
      <c r="E84" s="40"/>
      <c r="F84" s="20"/>
      <c r="G84" s="40"/>
      <c r="H84" s="19"/>
      <c r="I84" s="19"/>
      <c r="J84" s="19"/>
      <c r="K84" s="19"/>
      <c r="L84" s="19"/>
    </row>
    <row r="85" spans="1:26">
      <c r="A85" s="19"/>
      <c r="B85" s="19"/>
      <c r="C85" s="19"/>
      <c r="H85" s="19"/>
      <c r="I85" s="19"/>
      <c r="J85" s="19"/>
      <c r="K85" s="19"/>
      <c r="L85" s="19"/>
      <c r="O85" s="29"/>
    </row>
    <row r="86" spans="1:26">
      <c r="A86" s="19"/>
      <c r="B86" s="19"/>
      <c r="C86" s="19"/>
      <c r="H86" s="19"/>
      <c r="I86" s="19"/>
      <c r="J86" s="19"/>
      <c r="K86" s="19"/>
      <c r="L86" s="19"/>
    </row>
    <row r="87" spans="1:26">
      <c r="B87" s="19"/>
      <c r="C87" s="19"/>
      <c r="H87" s="19"/>
      <c r="I87" s="19"/>
      <c r="J87" s="19"/>
      <c r="K87" s="19"/>
      <c r="L87" s="19"/>
    </row>
    <row r="88" spans="1:26" s="31" customFormat="1" ht="11.25" customHeight="1">
      <c r="A88" s="19"/>
      <c r="B88" s="19"/>
      <c r="C88" s="19"/>
      <c r="D88" s="17" t="s">
        <v>2</v>
      </c>
      <c r="E88" s="19"/>
      <c r="F88" s="19"/>
      <c r="G88" s="19"/>
      <c r="H88" s="19"/>
      <c r="I88" s="19"/>
      <c r="J88" s="19"/>
      <c r="K88" s="19"/>
      <c r="L88" s="19"/>
      <c r="M88" s="17"/>
      <c r="N88" s="17"/>
      <c r="P88" s="17"/>
      <c r="Q88" s="17"/>
      <c r="R88" s="17"/>
      <c r="S88" s="17"/>
      <c r="T88" s="17"/>
      <c r="U88" s="17"/>
      <c r="W88" s="17"/>
      <c r="X88" s="17"/>
      <c r="Y88" s="17"/>
      <c r="Z88" s="17"/>
    </row>
    <row r="89" spans="1:26" s="31" customFormat="1" ht="16.5" customHeight="1">
      <c r="A89" s="19"/>
      <c r="B89" s="19"/>
      <c r="C89" s="19"/>
      <c r="D89" s="17"/>
      <c r="E89" s="40"/>
      <c r="F89" s="40"/>
      <c r="G89" s="40"/>
      <c r="H89" s="19"/>
      <c r="I89" s="19"/>
      <c r="J89" s="19"/>
      <c r="K89" s="19"/>
      <c r="L89" s="19"/>
      <c r="M89" s="17"/>
      <c r="N89" s="17"/>
      <c r="P89" s="17"/>
      <c r="Q89" s="17"/>
      <c r="R89" s="17"/>
      <c r="S89" s="17"/>
      <c r="T89" s="17"/>
      <c r="U89" s="17"/>
      <c r="W89" s="17"/>
      <c r="X89" s="17"/>
      <c r="Y89" s="17"/>
      <c r="Z89" s="17"/>
    </row>
    <row r="90" spans="1:26" s="31" customFormat="1" ht="18.75" customHeight="1">
      <c r="A90" s="19"/>
      <c r="B90" s="19"/>
      <c r="C90" s="19"/>
      <c r="D90" s="17"/>
      <c r="E90" s="40"/>
      <c r="F90" s="40"/>
      <c r="G90" s="40"/>
      <c r="H90" s="19"/>
      <c r="I90" s="19"/>
      <c r="J90" s="19"/>
      <c r="K90" s="19"/>
      <c r="L90" s="19"/>
      <c r="M90" s="17"/>
      <c r="N90" s="17"/>
      <c r="P90" s="17"/>
      <c r="Q90" s="17"/>
      <c r="R90" s="17"/>
      <c r="S90" s="17"/>
      <c r="T90" s="17"/>
      <c r="U90" s="17"/>
      <c r="W90" s="17"/>
      <c r="X90" s="17"/>
      <c r="Y90" s="17"/>
      <c r="Z90" s="17"/>
    </row>
    <row r="91" spans="1:26" s="31" customFormat="1" ht="18.75" customHeight="1">
      <c r="A91" s="19"/>
      <c r="B91" s="19"/>
      <c r="C91" s="19"/>
      <c r="D91" s="17"/>
      <c r="E91" s="40"/>
      <c r="F91" s="40"/>
      <c r="G91" s="40"/>
      <c r="H91" s="19"/>
      <c r="I91" s="19"/>
      <c r="J91" s="19"/>
      <c r="K91" s="19"/>
      <c r="L91" s="19"/>
      <c r="M91" s="17"/>
      <c r="N91" s="17"/>
      <c r="P91" s="17"/>
      <c r="Q91" s="17"/>
      <c r="R91" s="17"/>
      <c r="S91" s="17"/>
      <c r="T91" s="17"/>
      <c r="U91" s="17"/>
      <c r="W91" s="17"/>
      <c r="X91" s="17"/>
      <c r="Y91" s="17"/>
      <c r="Z91" s="17"/>
    </row>
    <row r="92" spans="1:26" s="31" customFormat="1" ht="12.75" customHeight="1">
      <c r="A92" s="19"/>
      <c r="B92" s="19"/>
      <c r="C92" s="19"/>
      <c r="D92" s="19"/>
      <c r="E92" s="40"/>
      <c r="F92" s="40"/>
      <c r="G92" s="40"/>
      <c r="H92" s="19"/>
      <c r="I92" s="19"/>
      <c r="J92" s="19"/>
      <c r="K92" s="19"/>
      <c r="L92" s="19"/>
      <c r="M92" s="17"/>
      <c r="N92" s="17"/>
      <c r="P92" s="17"/>
      <c r="Q92" s="17"/>
      <c r="R92" s="17"/>
      <c r="S92" s="17"/>
      <c r="T92" s="17"/>
      <c r="U92" s="17"/>
      <c r="W92" s="17"/>
      <c r="X92" s="17"/>
      <c r="Y92" s="17"/>
      <c r="Z92" s="17"/>
    </row>
    <row r="93" spans="1:26" s="31" customFormat="1" ht="15" customHeight="1">
      <c r="A93" s="19"/>
      <c r="B93" s="19"/>
      <c r="C93" s="19"/>
      <c r="D93" s="19"/>
      <c r="E93" s="40"/>
      <c r="F93" s="40"/>
      <c r="G93" s="40"/>
      <c r="H93" s="19"/>
      <c r="I93" s="19"/>
      <c r="J93" s="19"/>
      <c r="K93" s="19"/>
      <c r="L93" s="19"/>
      <c r="M93" s="17"/>
      <c r="N93" s="17"/>
      <c r="P93" s="17"/>
      <c r="Q93" s="17"/>
      <c r="R93" s="17"/>
      <c r="S93" s="17"/>
      <c r="T93" s="17"/>
      <c r="U93" s="17"/>
      <c r="W93" s="17"/>
      <c r="X93" s="17"/>
      <c r="Y93" s="17"/>
      <c r="Z93" s="17"/>
    </row>
    <row r="94" spans="1:26" ht="7.5" customHeight="1">
      <c r="A94" s="19"/>
      <c r="B94" s="19"/>
      <c r="C94" s="19"/>
      <c r="D94" s="19"/>
      <c r="E94" s="40"/>
      <c r="F94" s="40"/>
      <c r="G94" s="40"/>
      <c r="H94" s="19"/>
      <c r="I94" s="19"/>
      <c r="J94" s="19"/>
      <c r="K94" s="19"/>
      <c r="L94" s="19"/>
      <c r="M94" s="19"/>
    </row>
    <row r="95" spans="1:26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</row>
    <row r="96" spans="1:26">
      <c r="A96" s="17" t="s">
        <v>19</v>
      </c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</row>
    <row r="97" spans="1:24"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</row>
    <row r="98" spans="1:24">
      <c r="C98" s="139" t="s">
        <v>20</v>
      </c>
      <c r="D98" s="41">
        <v>80</v>
      </c>
      <c r="F98" s="19"/>
      <c r="G98" s="19"/>
      <c r="H98" s="19"/>
      <c r="I98" s="19"/>
      <c r="J98" s="19"/>
      <c r="K98" s="19"/>
      <c r="L98" s="19"/>
      <c r="M98" s="19"/>
    </row>
    <row r="99" spans="1:24">
      <c r="C99" s="295" t="s">
        <v>21</v>
      </c>
      <c r="D99" s="4">
        <v>1.2</v>
      </c>
      <c r="E99" s="1" t="s">
        <v>174</v>
      </c>
      <c r="F99" s="19"/>
      <c r="G99" s="19"/>
      <c r="H99" s="19"/>
      <c r="I99" s="19"/>
      <c r="J99" s="19"/>
      <c r="K99" s="19"/>
      <c r="L99" s="19"/>
      <c r="M99" s="19"/>
    </row>
    <row r="100" spans="1:24">
      <c r="C100" s="296"/>
      <c r="D100" s="4">
        <v>1.1000000000000001</v>
      </c>
      <c r="E100" s="1" t="s">
        <v>22</v>
      </c>
      <c r="F100" s="19"/>
      <c r="G100" s="19"/>
      <c r="H100" s="19"/>
      <c r="I100" s="19"/>
      <c r="J100" s="19"/>
      <c r="K100" s="19"/>
      <c r="L100" s="19"/>
      <c r="M100" s="19"/>
    </row>
    <row r="101" spans="1:24">
      <c r="C101" s="297"/>
      <c r="D101" s="42">
        <v>1</v>
      </c>
      <c r="E101" s="1" t="s">
        <v>175</v>
      </c>
      <c r="M101" s="19"/>
    </row>
    <row r="102" spans="1:24">
      <c r="M102" s="19"/>
    </row>
    <row r="103" spans="1:24" s="31" customFormat="1" ht="30" customHeight="1">
      <c r="A103" s="168"/>
      <c r="B103" s="138" t="str">
        <f>B$41</f>
        <v>Pozo de</v>
      </c>
      <c r="C103" s="145" t="str">
        <f>C$41</f>
        <v>Pozo a</v>
      </c>
      <c r="D103" s="145" t="s">
        <v>130</v>
      </c>
      <c r="E103" s="145" t="s">
        <v>209</v>
      </c>
      <c r="F103" s="145" t="s">
        <v>204</v>
      </c>
      <c r="G103" s="129" t="s">
        <v>134</v>
      </c>
      <c r="H103" s="145" t="s">
        <v>205</v>
      </c>
      <c r="I103" s="145" t="s">
        <v>224</v>
      </c>
      <c r="J103" s="145" t="s">
        <v>225</v>
      </c>
      <c r="K103" s="145" t="s">
        <v>210</v>
      </c>
      <c r="L103" s="145" t="s">
        <v>211</v>
      </c>
      <c r="N103" s="128" t="s">
        <v>23</v>
      </c>
      <c r="W103" s="17"/>
      <c r="X103" s="17"/>
    </row>
    <row r="104" spans="1:24" s="74" customFormat="1" ht="12" customHeight="1">
      <c r="A104" s="169"/>
      <c r="B104" s="140">
        <f t="shared" ref="B104:F113" si="9">+B42</f>
        <v>130362</v>
      </c>
      <c r="C104" s="140" t="str">
        <f t="shared" si="9"/>
        <v>130317A</v>
      </c>
      <c r="D104" s="135">
        <f t="shared" si="9"/>
        <v>39.630000000000003</v>
      </c>
      <c r="E104" s="95">
        <f t="shared" si="9"/>
        <v>8</v>
      </c>
      <c r="F104" s="135">
        <f t="shared" si="9"/>
        <v>0.2732</v>
      </c>
      <c r="G104" s="135">
        <f t="shared" ref="G104:H125" si="10">+H42</f>
        <v>2.85</v>
      </c>
      <c r="H104" s="135">
        <f t="shared" si="10"/>
        <v>1</v>
      </c>
      <c r="I104" s="135">
        <f>0.5+1.75*G104</f>
        <v>5.4874999999999998</v>
      </c>
      <c r="J104" s="135">
        <f>0.25+1.75*G104</f>
        <v>5.2374999999999998</v>
      </c>
      <c r="K104" s="135">
        <f>I104+1.75*(3*F104/4)</f>
        <v>5.8460749999999999</v>
      </c>
      <c r="L104" s="96">
        <f>$D$98*CHOOSE(N104,$D$99,$D$100,$D$101)/K104</f>
        <v>13.684395085591616</v>
      </c>
      <c r="M104" s="17"/>
      <c r="N104" s="75">
        <f>IF(G104&lt;0.6,1,IF(G104&lt;0.91,2,3))</f>
        <v>3</v>
      </c>
    </row>
    <row r="105" spans="1:24" s="74" customFormat="1" ht="12" customHeight="1">
      <c r="A105" s="169"/>
      <c r="B105" s="140" t="str">
        <f t="shared" si="9"/>
        <v>130317A</v>
      </c>
      <c r="C105" s="140">
        <f t="shared" si="9"/>
        <v>130317</v>
      </c>
      <c r="D105" s="135">
        <f t="shared" si="9"/>
        <v>70.36</v>
      </c>
      <c r="E105" s="95">
        <f t="shared" si="9"/>
        <v>8</v>
      </c>
      <c r="F105" s="135">
        <f t="shared" si="9"/>
        <v>0.2732</v>
      </c>
      <c r="G105" s="135">
        <f t="shared" si="10"/>
        <v>2.96</v>
      </c>
      <c r="H105" s="135">
        <f t="shared" si="10"/>
        <v>1</v>
      </c>
      <c r="I105" s="135">
        <f t="shared" ref="I105:I125" si="11">0.5+1.75*G105</f>
        <v>5.68</v>
      </c>
      <c r="J105" s="135">
        <f t="shared" ref="J105:J125" si="12">0.25+1.75*G105</f>
        <v>5.43</v>
      </c>
      <c r="K105" s="135">
        <f t="shared" ref="K105:K125" si="13">I105+1.75*(3*F105/4)</f>
        <v>6.0385749999999998</v>
      </c>
      <c r="L105" s="96">
        <f t="shared" ref="L105:L125" si="14">$D$98*CHOOSE(N105,$D$99,$D$100,$D$101)/K105</f>
        <v>13.248158712941381</v>
      </c>
      <c r="M105" s="17"/>
      <c r="N105" s="75">
        <f t="shared" ref="N105:N143" si="15">IF(G105&lt;0.6,1,IF(G105&lt;0.91,2,3))</f>
        <v>3</v>
      </c>
    </row>
    <row r="106" spans="1:24" s="74" customFormat="1" ht="12" customHeight="1">
      <c r="A106" s="169"/>
      <c r="B106" s="140" t="str">
        <f t="shared" si="9"/>
        <v>VICS-141</v>
      </c>
      <c r="C106" s="140">
        <f t="shared" si="9"/>
        <v>79879</v>
      </c>
      <c r="D106" s="135">
        <f t="shared" si="9"/>
        <v>55.38</v>
      </c>
      <c r="E106" s="95">
        <f t="shared" si="9"/>
        <v>8</v>
      </c>
      <c r="F106" s="135">
        <f t="shared" si="9"/>
        <v>0.2732</v>
      </c>
      <c r="G106" s="135">
        <f t="shared" si="10"/>
        <v>2.2000000000000002</v>
      </c>
      <c r="H106" s="135">
        <f t="shared" si="10"/>
        <v>1</v>
      </c>
      <c r="I106" s="135">
        <f t="shared" si="11"/>
        <v>4.3500000000000005</v>
      </c>
      <c r="J106" s="135">
        <f t="shared" si="12"/>
        <v>4.1000000000000005</v>
      </c>
      <c r="K106" s="135">
        <f t="shared" si="13"/>
        <v>4.7085750000000006</v>
      </c>
      <c r="L106" s="96">
        <f t="shared" si="14"/>
        <v>16.990278375092249</v>
      </c>
      <c r="M106" s="17"/>
      <c r="N106" s="75">
        <f t="shared" si="15"/>
        <v>3</v>
      </c>
    </row>
    <row r="107" spans="1:24" s="74" customFormat="1" ht="12" customHeight="1">
      <c r="A107" s="169"/>
      <c r="B107" s="140">
        <f t="shared" si="9"/>
        <v>79879</v>
      </c>
      <c r="C107" s="140">
        <f t="shared" si="9"/>
        <v>130362</v>
      </c>
      <c r="D107" s="135">
        <f t="shared" si="9"/>
        <v>49.85</v>
      </c>
      <c r="E107" s="95">
        <f t="shared" si="9"/>
        <v>8</v>
      </c>
      <c r="F107" s="135">
        <f t="shared" si="9"/>
        <v>0.2732</v>
      </c>
      <c r="G107" s="135">
        <f t="shared" si="10"/>
        <v>1.92</v>
      </c>
      <c r="H107" s="135">
        <f t="shared" si="10"/>
        <v>1</v>
      </c>
      <c r="I107" s="135">
        <f t="shared" si="11"/>
        <v>3.86</v>
      </c>
      <c r="J107" s="135">
        <f t="shared" si="12"/>
        <v>3.61</v>
      </c>
      <c r="K107" s="135">
        <f t="shared" si="13"/>
        <v>4.2185749999999995</v>
      </c>
      <c r="L107" s="96">
        <f t="shared" si="14"/>
        <v>18.963749607391122</v>
      </c>
      <c r="M107" s="17"/>
      <c r="N107" s="75">
        <f t="shared" si="15"/>
        <v>3</v>
      </c>
    </row>
    <row r="108" spans="1:24" s="74" customFormat="1" ht="12" customHeight="1">
      <c r="A108" s="169"/>
      <c r="B108" s="140">
        <f t="shared" si="9"/>
        <v>79879</v>
      </c>
      <c r="C108" s="140">
        <f t="shared" si="9"/>
        <v>130234</v>
      </c>
      <c r="D108" s="135">
        <f t="shared" si="9"/>
        <v>51.12</v>
      </c>
      <c r="E108" s="95">
        <f t="shared" si="9"/>
        <v>8</v>
      </c>
      <c r="F108" s="135">
        <f t="shared" si="9"/>
        <v>0.2732</v>
      </c>
      <c r="G108" s="135">
        <f t="shared" si="10"/>
        <v>1.46</v>
      </c>
      <c r="H108" s="135">
        <f t="shared" si="10"/>
        <v>1</v>
      </c>
      <c r="I108" s="135">
        <f t="shared" si="11"/>
        <v>3.0549999999999997</v>
      </c>
      <c r="J108" s="135">
        <f t="shared" si="12"/>
        <v>2.8049999999999997</v>
      </c>
      <c r="K108" s="135">
        <f t="shared" si="13"/>
        <v>3.4135749999999998</v>
      </c>
      <c r="L108" s="96">
        <f t="shared" si="14"/>
        <v>23.43584072416748</v>
      </c>
      <c r="M108" s="17"/>
      <c r="N108" s="75">
        <f t="shared" si="15"/>
        <v>3</v>
      </c>
    </row>
    <row r="109" spans="1:24" s="74" customFormat="1" ht="12" customHeight="1">
      <c r="A109" s="169"/>
      <c r="B109" s="140">
        <f t="shared" si="9"/>
        <v>130234</v>
      </c>
      <c r="C109" s="140" t="str">
        <f t="shared" si="9"/>
        <v>VICS-130A</v>
      </c>
      <c r="D109" s="135">
        <f t="shared" si="9"/>
        <v>54.91</v>
      </c>
      <c r="E109" s="95">
        <f t="shared" si="9"/>
        <v>10</v>
      </c>
      <c r="F109" s="135">
        <f t="shared" si="9"/>
        <v>0.32400000000000001</v>
      </c>
      <c r="G109" s="135">
        <f t="shared" si="10"/>
        <v>2.66</v>
      </c>
      <c r="H109" s="135">
        <f t="shared" si="10"/>
        <v>1</v>
      </c>
      <c r="I109" s="135">
        <f t="shared" si="11"/>
        <v>5.1550000000000002</v>
      </c>
      <c r="J109" s="135">
        <f t="shared" si="12"/>
        <v>4.9050000000000002</v>
      </c>
      <c r="K109" s="135">
        <f t="shared" si="13"/>
        <v>5.5802500000000004</v>
      </c>
      <c r="L109" s="96">
        <f t="shared" si="14"/>
        <v>14.336275256484923</v>
      </c>
      <c r="M109" s="17"/>
      <c r="N109" s="75">
        <f t="shared" si="15"/>
        <v>3</v>
      </c>
    </row>
    <row r="110" spans="1:24" s="74" customFormat="1" ht="12" customHeight="1">
      <c r="A110" s="169"/>
      <c r="B110" s="140" t="str">
        <f t="shared" si="9"/>
        <v>VICS-130A</v>
      </c>
      <c r="C110" s="140">
        <f t="shared" si="9"/>
        <v>130178</v>
      </c>
      <c r="D110" s="135">
        <f t="shared" si="9"/>
        <v>55.4</v>
      </c>
      <c r="E110" s="95">
        <f t="shared" si="9"/>
        <v>10</v>
      </c>
      <c r="F110" s="135">
        <f t="shared" si="9"/>
        <v>0.32400000000000001</v>
      </c>
      <c r="G110" s="135">
        <f t="shared" si="10"/>
        <v>1.99</v>
      </c>
      <c r="H110" s="135">
        <f t="shared" si="10"/>
        <v>1</v>
      </c>
      <c r="I110" s="135">
        <f t="shared" si="11"/>
        <v>3.9824999999999999</v>
      </c>
      <c r="J110" s="135">
        <f t="shared" si="12"/>
        <v>3.7324999999999999</v>
      </c>
      <c r="K110" s="135">
        <f t="shared" si="13"/>
        <v>4.4077500000000001</v>
      </c>
      <c r="L110" s="96">
        <f t="shared" si="14"/>
        <v>18.149849696557201</v>
      </c>
      <c r="M110" s="17"/>
      <c r="N110" s="75">
        <f t="shared" si="15"/>
        <v>3</v>
      </c>
    </row>
    <row r="111" spans="1:24" s="74" customFormat="1" ht="12" customHeight="1">
      <c r="A111" s="169"/>
      <c r="B111" s="140">
        <f t="shared" si="9"/>
        <v>130178</v>
      </c>
      <c r="C111" s="140" t="str">
        <f t="shared" si="9"/>
        <v>VICS-132</v>
      </c>
      <c r="D111" s="135">
        <f t="shared" si="9"/>
        <v>48.08</v>
      </c>
      <c r="E111" s="95">
        <f t="shared" si="9"/>
        <v>10</v>
      </c>
      <c r="F111" s="135">
        <f t="shared" si="9"/>
        <v>0.32400000000000001</v>
      </c>
      <c r="G111" s="135">
        <f t="shared" si="10"/>
        <v>2.02</v>
      </c>
      <c r="H111" s="135">
        <f t="shared" si="10"/>
        <v>1</v>
      </c>
      <c r="I111" s="135">
        <f t="shared" si="11"/>
        <v>4.0350000000000001</v>
      </c>
      <c r="J111" s="135">
        <f t="shared" si="12"/>
        <v>3.7850000000000001</v>
      </c>
      <c r="K111" s="135">
        <f t="shared" si="13"/>
        <v>4.4602500000000003</v>
      </c>
      <c r="L111" s="96">
        <f t="shared" si="14"/>
        <v>17.936214337761335</v>
      </c>
      <c r="M111" s="17"/>
      <c r="N111" s="75">
        <f t="shared" si="15"/>
        <v>3</v>
      </c>
    </row>
    <row r="112" spans="1:24" s="74" customFormat="1" ht="12" customHeight="1">
      <c r="A112" s="169"/>
      <c r="B112" s="140">
        <f t="shared" si="9"/>
        <v>130317</v>
      </c>
      <c r="C112" s="140">
        <f t="shared" si="9"/>
        <v>130251</v>
      </c>
      <c r="D112" s="135">
        <f t="shared" si="9"/>
        <v>50.83</v>
      </c>
      <c r="E112" s="95">
        <f t="shared" si="9"/>
        <v>8</v>
      </c>
      <c r="F112" s="135">
        <f t="shared" si="9"/>
        <v>0.2732</v>
      </c>
      <c r="G112" s="135">
        <f t="shared" si="10"/>
        <v>1.64</v>
      </c>
      <c r="H112" s="135">
        <f t="shared" si="10"/>
        <v>1</v>
      </c>
      <c r="I112" s="135">
        <f t="shared" si="11"/>
        <v>3.3699999999999997</v>
      </c>
      <c r="J112" s="135">
        <f t="shared" si="12"/>
        <v>3.1199999999999997</v>
      </c>
      <c r="K112" s="135">
        <f t="shared" si="13"/>
        <v>3.7285749999999998</v>
      </c>
      <c r="L112" s="96">
        <f t="shared" si="14"/>
        <v>21.455918145672275</v>
      </c>
      <c r="M112" s="17"/>
      <c r="N112" s="75">
        <f t="shared" si="15"/>
        <v>3</v>
      </c>
    </row>
    <row r="113" spans="1:14" s="74" customFormat="1" ht="12" customHeight="1">
      <c r="A113" s="169"/>
      <c r="B113" s="140">
        <f t="shared" si="9"/>
        <v>130178</v>
      </c>
      <c r="C113" s="140">
        <f t="shared" si="9"/>
        <v>130251</v>
      </c>
      <c r="D113" s="135">
        <f t="shared" si="9"/>
        <v>50.1</v>
      </c>
      <c r="E113" s="95">
        <f t="shared" si="9"/>
        <v>8</v>
      </c>
      <c r="F113" s="135">
        <f t="shared" si="9"/>
        <v>0.2732</v>
      </c>
      <c r="G113" s="135">
        <f t="shared" si="10"/>
        <v>1.8</v>
      </c>
      <c r="H113" s="135">
        <f t="shared" si="10"/>
        <v>1</v>
      </c>
      <c r="I113" s="135">
        <f t="shared" si="11"/>
        <v>3.65</v>
      </c>
      <c r="J113" s="135">
        <f t="shared" si="12"/>
        <v>3.4</v>
      </c>
      <c r="K113" s="135">
        <f t="shared" si="13"/>
        <v>4.0085749999999996</v>
      </c>
      <c r="L113" s="96">
        <f t="shared" si="14"/>
        <v>19.957216716663655</v>
      </c>
      <c r="M113" s="17"/>
      <c r="N113" s="75">
        <f t="shared" si="15"/>
        <v>3</v>
      </c>
    </row>
    <row r="114" spans="1:14" s="74" customFormat="1" ht="12" customHeight="1">
      <c r="A114" s="169"/>
      <c r="B114" s="140" t="str">
        <f t="shared" ref="B114:F123" si="16">+B52</f>
        <v>PVA-01</v>
      </c>
      <c r="C114" s="140" t="str">
        <f t="shared" si="16"/>
        <v>PVA-02</v>
      </c>
      <c r="D114" s="135">
        <f t="shared" si="16"/>
        <v>6.14</v>
      </c>
      <c r="E114" s="95">
        <f t="shared" si="16"/>
        <v>8</v>
      </c>
      <c r="F114" s="135">
        <f t="shared" si="16"/>
        <v>0.2732</v>
      </c>
      <c r="G114" s="135">
        <f t="shared" si="10"/>
        <v>1.86</v>
      </c>
      <c r="H114" s="135">
        <f t="shared" si="10"/>
        <v>1</v>
      </c>
      <c r="I114" s="135">
        <f t="shared" si="11"/>
        <v>3.7550000000000003</v>
      </c>
      <c r="J114" s="135">
        <f t="shared" si="12"/>
        <v>3.5050000000000003</v>
      </c>
      <c r="K114" s="135">
        <f t="shared" si="13"/>
        <v>4.113575</v>
      </c>
      <c r="L114" s="96">
        <f t="shared" si="14"/>
        <v>19.447803917517003</v>
      </c>
      <c r="M114" s="17"/>
      <c r="N114" s="75">
        <f t="shared" si="15"/>
        <v>3</v>
      </c>
    </row>
    <row r="115" spans="1:14" s="74" customFormat="1" ht="12" customHeight="1">
      <c r="A115" s="169"/>
      <c r="B115" s="140" t="str">
        <f t="shared" si="16"/>
        <v>PVA-02</v>
      </c>
      <c r="C115" s="140">
        <f t="shared" si="16"/>
        <v>130251</v>
      </c>
      <c r="D115" s="135">
        <f t="shared" si="16"/>
        <v>11.23</v>
      </c>
      <c r="E115" s="95">
        <f t="shared" si="16"/>
        <v>8</v>
      </c>
      <c r="F115" s="135">
        <f t="shared" si="16"/>
        <v>0.2732</v>
      </c>
      <c r="G115" s="135">
        <f t="shared" si="10"/>
        <v>1.46</v>
      </c>
      <c r="H115" s="135">
        <f t="shared" si="10"/>
        <v>1</v>
      </c>
      <c r="I115" s="135">
        <f t="shared" si="11"/>
        <v>3.0549999999999997</v>
      </c>
      <c r="J115" s="135">
        <f t="shared" si="12"/>
        <v>2.8049999999999997</v>
      </c>
      <c r="K115" s="135">
        <f t="shared" si="13"/>
        <v>3.4135749999999998</v>
      </c>
      <c r="L115" s="96">
        <f t="shared" si="14"/>
        <v>23.43584072416748</v>
      </c>
      <c r="M115" s="17"/>
      <c r="N115" s="75">
        <f t="shared" si="15"/>
        <v>3</v>
      </c>
    </row>
    <row r="116" spans="1:14" s="74" customFormat="1" ht="12" customHeight="1">
      <c r="A116" s="169"/>
      <c r="B116" s="140" t="str">
        <f t="shared" si="16"/>
        <v>PV-01</v>
      </c>
      <c r="C116" s="140" t="str">
        <f t="shared" si="16"/>
        <v>PV-02</v>
      </c>
      <c r="D116" s="135">
        <f t="shared" si="16"/>
        <v>10.09</v>
      </c>
      <c r="E116" s="95">
        <f t="shared" si="16"/>
        <v>12</v>
      </c>
      <c r="F116" s="135">
        <f t="shared" si="16"/>
        <v>0.32400000000000001</v>
      </c>
      <c r="G116" s="135">
        <f t="shared" si="10"/>
        <v>2.29</v>
      </c>
      <c r="H116" s="135">
        <f t="shared" si="10"/>
        <v>1</v>
      </c>
      <c r="I116" s="135">
        <f t="shared" si="11"/>
        <v>4.5075000000000003</v>
      </c>
      <c r="J116" s="135">
        <f t="shared" si="12"/>
        <v>4.2575000000000003</v>
      </c>
      <c r="K116" s="135">
        <f t="shared" si="13"/>
        <v>4.9327500000000004</v>
      </c>
      <c r="L116" s="96">
        <f t="shared" si="14"/>
        <v>16.21813390096802</v>
      </c>
      <c r="M116" s="17"/>
      <c r="N116" s="75">
        <f t="shared" si="15"/>
        <v>3</v>
      </c>
    </row>
    <row r="117" spans="1:14" s="74" customFormat="1" ht="12" customHeight="1">
      <c r="A117" s="169"/>
      <c r="B117" s="140" t="str">
        <f t="shared" si="16"/>
        <v>PV-02</v>
      </c>
      <c r="C117" s="140">
        <f t="shared" si="16"/>
        <v>125889</v>
      </c>
      <c r="D117" s="135">
        <f t="shared" si="16"/>
        <v>14.58</v>
      </c>
      <c r="E117" s="95">
        <f t="shared" si="16"/>
        <v>12</v>
      </c>
      <c r="F117" s="135">
        <f t="shared" si="16"/>
        <v>0.32400000000000001</v>
      </c>
      <c r="G117" s="135">
        <f t="shared" si="10"/>
        <v>2.29</v>
      </c>
      <c r="H117" s="135">
        <f t="shared" si="10"/>
        <v>1</v>
      </c>
      <c r="I117" s="135">
        <f t="shared" si="11"/>
        <v>4.5075000000000003</v>
      </c>
      <c r="J117" s="135">
        <f t="shared" si="12"/>
        <v>4.2575000000000003</v>
      </c>
      <c r="K117" s="135">
        <f t="shared" si="13"/>
        <v>4.9327500000000004</v>
      </c>
      <c r="L117" s="96">
        <f t="shared" si="14"/>
        <v>16.21813390096802</v>
      </c>
      <c r="M117" s="17"/>
      <c r="N117" s="75">
        <f t="shared" si="15"/>
        <v>3</v>
      </c>
    </row>
    <row r="118" spans="1:14" s="74" customFormat="1" ht="12" customHeight="1">
      <c r="A118" s="169"/>
      <c r="B118" s="140">
        <f t="shared" si="16"/>
        <v>125889</v>
      </c>
      <c r="C118" s="140">
        <f t="shared" si="16"/>
        <v>125890</v>
      </c>
      <c r="D118" s="135">
        <f t="shared" si="16"/>
        <v>53.53</v>
      </c>
      <c r="E118" s="95">
        <f t="shared" si="16"/>
        <v>12</v>
      </c>
      <c r="F118" s="135">
        <f t="shared" si="16"/>
        <v>0.32400000000000001</v>
      </c>
      <c r="G118" s="135">
        <f t="shared" si="10"/>
        <v>2.35</v>
      </c>
      <c r="H118" s="135">
        <f t="shared" si="10"/>
        <v>1</v>
      </c>
      <c r="I118" s="135">
        <f t="shared" si="11"/>
        <v>4.6124999999999998</v>
      </c>
      <c r="J118" s="135">
        <f t="shared" si="12"/>
        <v>4.3624999999999998</v>
      </c>
      <c r="K118" s="135">
        <f t="shared" si="13"/>
        <v>5.03775</v>
      </c>
      <c r="L118" s="96">
        <f t="shared" si="14"/>
        <v>15.880105205696989</v>
      </c>
      <c r="M118" s="17"/>
      <c r="N118" s="75">
        <f t="shared" si="15"/>
        <v>3</v>
      </c>
    </row>
    <row r="119" spans="1:14" s="74" customFormat="1" ht="12" customHeight="1">
      <c r="A119" s="169"/>
      <c r="B119" s="140">
        <f t="shared" si="16"/>
        <v>78120</v>
      </c>
      <c r="C119" s="140">
        <f t="shared" si="16"/>
        <v>77975</v>
      </c>
      <c r="D119" s="135">
        <f t="shared" si="16"/>
        <v>50.07</v>
      </c>
      <c r="E119" s="95">
        <f t="shared" si="16"/>
        <v>36</v>
      </c>
      <c r="F119" s="135">
        <f t="shared" si="16"/>
        <v>1.0649999999999999</v>
      </c>
      <c r="G119" s="135">
        <f t="shared" si="10"/>
        <v>2.77</v>
      </c>
      <c r="H119" s="135">
        <f t="shared" si="10"/>
        <v>1.7999999999999998</v>
      </c>
      <c r="I119" s="135">
        <f t="shared" si="11"/>
        <v>5.3475000000000001</v>
      </c>
      <c r="J119" s="135">
        <f t="shared" si="12"/>
        <v>5.0975000000000001</v>
      </c>
      <c r="K119" s="135">
        <f t="shared" si="13"/>
        <v>6.7453124999999998</v>
      </c>
      <c r="L119" s="96">
        <f t="shared" si="14"/>
        <v>11.860088024090803</v>
      </c>
      <c r="M119" s="17"/>
      <c r="N119" s="75">
        <f t="shared" si="15"/>
        <v>3</v>
      </c>
    </row>
    <row r="120" spans="1:14" s="74" customFormat="1" ht="12" customHeight="1">
      <c r="A120" s="169"/>
      <c r="B120" s="140">
        <f t="shared" si="16"/>
        <v>77975</v>
      </c>
      <c r="C120" s="140">
        <f t="shared" si="16"/>
        <v>77724</v>
      </c>
      <c r="D120" s="135">
        <f t="shared" si="16"/>
        <v>50.46</v>
      </c>
      <c r="E120" s="95">
        <f t="shared" si="16"/>
        <v>36</v>
      </c>
      <c r="F120" s="135">
        <f t="shared" si="16"/>
        <v>1.0649999999999999</v>
      </c>
      <c r="G120" s="135">
        <f t="shared" si="10"/>
        <v>2.8</v>
      </c>
      <c r="H120" s="135">
        <f t="shared" si="10"/>
        <v>1.7999999999999998</v>
      </c>
      <c r="I120" s="135">
        <f t="shared" si="11"/>
        <v>5.3999999999999995</v>
      </c>
      <c r="J120" s="135">
        <f t="shared" si="12"/>
        <v>5.1499999999999995</v>
      </c>
      <c r="K120" s="135">
        <f t="shared" si="13"/>
        <v>6.7978124999999991</v>
      </c>
      <c r="L120" s="96">
        <f t="shared" si="14"/>
        <v>11.768491702293938</v>
      </c>
      <c r="M120" s="17"/>
      <c r="N120" s="75">
        <f t="shared" si="15"/>
        <v>3</v>
      </c>
    </row>
    <row r="121" spans="1:14" s="74" customFormat="1" ht="12" customHeight="1">
      <c r="A121" s="169"/>
      <c r="B121" s="140">
        <f t="shared" si="16"/>
        <v>78745</v>
      </c>
      <c r="C121" s="140">
        <f t="shared" si="16"/>
        <v>77970</v>
      </c>
      <c r="D121" s="135">
        <f t="shared" si="16"/>
        <v>51.41</v>
      </c>
      <c r="E121" s="95">
        <f t="shared" si="16"/>
        <v>12</v>
      </c>
      <c r="F121" s="135">
        <f t="shared" si="16"/>
        <v>0.32400000000000001</v>
      </c>
      <c r="G121" s="135">
        <f t="shared" si="10"/>
        <v>1.9</v>
      </c>
      <c r="H121" s="135">
        <f t="shared" si="10"/>
        <v>1</v>
      </c>
      <c r="I121" s="135">
        <f t="shared" si="11"/>
        <v>3.8249999999999997</v>
      </c>
      <c r="J121" s="135">
        <f t="shared" si="12"/>
        <v>3.5749999999999997</v>
      </c>
      <c r="K121" s="135">
        <f t="shared" si="13"/>
        <v>4.2502499999999994</v>
      </c>
      <c r="L121" s="96">
        <f t="shared" si="14"/>
        <v>18.82242221045821</v>
      </c>
      <c r="M121" s="17"/>
      <c r="N121" s="75">
        <f t="shared" si="15"/>
        <v>3</v>
      </c>
    </row>
    <row r="122" spans="1:14" s="74" customFormat="1" ht="12" customHeight="1">
      <c r="A122" s="169"/>
      <c r="B122" s="140">
        <f t="shared" si="16"/>
        <v>77970</v>
      </c>
      <c r="C122" s="140" t="str">
        <f t="shared" si="16"/>
        <v>VCP-163</v>
      </c>
      <c r="D122" s="135">
        <f t="shared" si="16"/>
        <v>75.95</v>
      </c>
      <c r="E122" s="95">
        <f t="shared" si="16"/>
        <v>12</v>
      </c>
      <c r="F122" s="135">
        <f t="shared" si="16"/>
        <v>0.32400000000000001</v>
      </c>
      <c r="G122" s="135">
        <f t="shared" si="10"/>
        <v>2.59</v>
      </c>
      <c r="H122" s="135">
        <f t="shared" si="10"/>
        <v>1</v>
      </c>
      <c r="I122" s="135">
        <f t="shared" si="11"/>
        <v>5.0324999999999998</v>
      </c>
      <c r="J122" s="135">
        <f t="shared" si="12"/>
        <v>4.7824999999999998</v>
      </c>
      <c r="K122" s="135">
        <f t="shared" si="13"/>
        <v>5.4577499999999999</v>
      </c>
      <c r="L122" s="96">
        <f t="shared" si="14"/>
        <v>14.658055059319317</v>
      </c>
      <c r="M122" s="17"/>
      <c r="N122" s="75">
        <f t="shared" si="15"/>
        <v>3</v>
      </c>
    </row>
    <row r="123" spans="1:14" s="74" customFormat="1" ht="12" customHeight="1">
      <c r="A123" s="169"/>
      <c r="B123" s="140" t="str">
        <f t="shared" si="16"/>
        <v>PV-03</v>
      </c>
      <c r="C123" s="140">
        <f t="shared" si="16"/>
        <v>78745</v>
      </c>
      <c r="D123" s="135">
        <f t="shared" si="16"/>
        <v>65.150000000000006</v>
      </c>
      <c r="E123" s="95">
        <f t="shared" si="16"/>
        <v>12</v>
      </c>
      <c r="F123" s="135">
        <f t="shared" si="16"/>
        <v>0.32400000000000001</v>
      </c>
      <c r="G123" s="135">
        <f t="shared" si="10"/>
        <v>1.37</v>
      </c>
      <c r="H123" s="135">
        <f t="shared" si="10"/>
        <v>1</v>
      </c>
      <c r="I123" s="135">
        <f t="shared" si="11"/>
        <v>2.8975</v>
      </c>
      <c r="J123" s="135">
        <f t="shared" si="12"/>
        <v>2.6475</v>
      </c>
      <c r="K123" s="135">
        <f t="shared" si="13"/>
        <v>3.3227500000000001</v>
      </c>
      <c r="L123" s="96">
        <f t="shared" si="14"/>
        <v>24.076442705590249</v>
      </c>
      <c r="M123" s="17"/>
      <c r="N123" s="75">
        <f t="shared" si="15"/>
        <v>3</v>
      </c>
    </row>
    <row r="124" spans="1:14" s="74" customFormat="1" ht="12" customHeight="1">
      <c r="A124" s="169"/>
      <c r="B124" s="140" t="str">
        <f t="shared" ref="B124:F125" si="17">+B62</f>
        <v>PV-05</v>
      </c>
      <c r="C124" s="140" t="str">
        <f t="shared" si="17"/>
        <v>PV-06</v>
      </c>
      <c r="D124" s="135">
        <f t="shared" si="17"/>
        <v>28.52</v>
      </c>
      <c r="E124" s="95">
        <f t="shared" si="17"/>
        <v>12</v>
      </c>
      <c r="F124" s="135">
        <f t="shared" si="17"/>
        <v>0.32400000000000001</v>
      </c>
      <c r="G124" s="135">
        <f t="shared" si="10"/>
        <v>1.4</v>
      </c>
      <c r="H124" s="135">
        <f t="shared" si="10"/>
        <v>1</v>
      </c>
      <c r="I124" s="135">
        <f t="shared" si="11"/>
        <v>2.9499999999999997</v>
      </c>
      <c r="J124" s="135">
        <f t="shared" si="12"/>
        <v>2.6999999999999997</v>
      </c>
      <c r="K124" s="135">
        <f t="shared" si="13"/>
        <v>3.3752499999999999</v>
      </c>
      <c r="L124" s="96">
        <f t="shared" si="14"/>
        <v>23.701948003851566</v>
      </c>
      <c r="M124" s="17"/>
      <c r="N124" s="75">
        <f t="shared" si="15"/>
        <v>3</v>
      </c>
    </row>
    <row r="125" spans="1:14" s="74" customFormat="1" ht="12" customHeight="1">
      <c r="A125" s="169"/>
      <c r="B125" s="140" t="str">
        <f t="shared" si="17"/>
        <v>PV-06</v>
      </c>
      <c r="C125" s="140">
        <f t="shared" si="17"/>
        <v>79268</v>
      </c>
      <c r="D125" s="135">
        <f t="shared" si="17"/>
        <v>9.8000000000000007</v>
      </c>
      <c r="E125" s="95">
        <f t="shared" si="17"/>
        <v>12</v>
      </c>
      <c r="F125" s="135">
        <f t="shared" si="17"/>
        <v>0.32400000000000001</v>
      </c>
      <c r="G125" s="135">
        <f t="shared" si="10"/>
        <v>1.1599999999999999</v>
      </c>
      <c r="H125" s="135">
        <f t="shared" si="10"/>
        <v>1</v>
      </c>
      <c r="I125" s="135">
        <f t="shared" si="11"/>
        <v>2.5299999999999998</v>
      </c>
      <c r="J125" s="135">
        <f t="shared" si="12"/>
        <v>2.2799999999999998</v>
      </c>
      <c r="K125" s="135">
        <f t="shared" si="13"/>
        <v>2.9552499999999999</v>
      </c>
      <c r="L125" s="96">
        <f t="shared" si="14"/>
        <v>27.070467811521869</v>
      </c>
      <c r="M125" s="17"/>
      <c r="N125" s="75">
        <f t="shared" si="15"/>
        <v>3</v>
      </c>
    </row>
    <row r="126" spans="1:14" s="74" customFormat="1" ht="12" customHeight="1">
      <c r="A126" s="169"/>
      <c r="B126" s="314" t="str">
        <f t="shared" ref="B126" si="18">+B64</f>
        <v>SUMIDEROS</v>
      </c>
      <c r="C126" s="314"/>
      <c r="D126" s="314"/>
      <c r="E126" s="314"/>
      <c r="F126" s="314"/>
      <c r="G126" s="314"/>
      <c r="H126" s="314"/>
      <c r="I126" s="314"/>
      <c r="J126" s="314"/>
      <c r="K126" s="314"/>
      <c r="L126" s="314"/>
      <c r="M126" s="17"/>
      <c r="N126" s="75"/>
    </row>
    <row r="127" spans="1:14" s="74" customFormat="1" ht="12" customHeight="1">
      <c r="A127" s="169"/>
      <c r="B127" s="140" t="str">
        <f t="shared" ref="B127:F127" si="19">+B65</f>
        <v>S31</v>
      </c>
      <c r="C127" s="140">
        <f t="shared" si="19"/>
        <v>77724</v>
      </c>
      <c r="D127" s="135">
        <f t="shared" si="19"/>
        <v>7.7</v>
      </c>
      <c r="E127" s="95">
        <f t="shared" si="19"/>
        <v>10</v>
      </c>
      <c r="F127" s="135">
        <f t="shared" si="19"/>
        <v>0.2732</v>
      </c>
      <c r="G127" s="135">
        <f t="shared" ref="G127:H127" si="20">+H65</f>
        <v>1</v>
      </c>
      <c r="H127" s="135">
        <f t="shared" si="20"/>
        <v>1</v>
      </c>
      <c r="I127" s="135">
        <f t="shared" ref="I127:I143" si="21">0.5+1.75*G127</f>
        <v>2.25</v>
      </c>
      <c r="J127" s="135">
        <f t="shared" ref="J127:J143" si="22">0.25+1.75*G127</f>
        <v>2</v>
      </c>
      <c r="K127" s="135">
        <f t="shared" ref="K127:K143" si="23">I127+1.75*(3*F127/4)</f>
        <v>2.6085750000000001</v>
      </c>
      <c r="L127" s="96">
        <f t="shared" ref="L127:L143" si="24">$D$98*CHOOSE(N127,$D$99,$D$100,$D$101)/K127</f>
        <v>30.668085065600948</v>
      </c>
      <c r="M127" s="17"/>
      <c r="N127" s="75">
        <f t="shared" si="15"/>
        <v>3</v>
      </c>
    </row>
    <row r="128" spans="1:14" s="74" customFormat="1" ht="12" customHeight="1">
      <c r="A128" s="169"/>
      <c r="B128" s="140" t="str">
        <f t="shared" ref="B128:F128" si="25">+B66</f>
        <v>S32</v>
      </c>
      <c r="C128" s="140">
        <f t="shared" si="25"/>
        <v>77724</v>
      </c>
      <c r="D128" s="135">
        <f t="shared" si="25"/>
        <v>9</v>
      </c>
      <c r="E128" s="95">
        <f t="shared" si="25"/>
        <v>10</v>
      </c>
      <c r="F128" s="135">
        <f t="shared" si="25"/>
        <v>0.2732</v>
      </c>
      <c r="G128" s="135">
        <f t="shared" ref="G128:H128" si="26">+H66</f>
        <v>1</v>
      </c>
      <c r="H128" s="135">
        <f t="shared" si="26"/>
        <v>1</v>
      </c>
      <c r="I128" s="135">
        <f t="shared" si="21"/>
        <v>2.25</v>
      </c>
      <c r="J128" s="135">
        <f t="shared" si="22"/>
        <v>2</v>
      </c>
      <c r="K128" s="135">
        <f t="shared" si="23"/>
        <v>2.6085750000000001</v>
      </c>
      <c r="L128" s="96">
        <f t="shared" si="24"/>
        <v>30.668085065600948</v>
      </c>
      <c r="M128" s="17"/>
      <c r="N128" s="75">
        <f t="shared" si="15"/>
        <v>3</v>
      </c>
    </row>
    <row r="129" spans="1:14" s="74" customFormat="1" ht="12" customHeight="1">
      <c r="A129" s="169"/>
      <c r="B129" s="140" t="str">
        <f t="shared" ref="B129:F129" si="27">+B67</f>
        <v>S33</v>
      </c>
      <c r="C129" s="140">
        <f t="shared" si="27"/>
        <v>125889</v>
      </c>
      <c r="D129" s="135">
        <f t="shared" si="27"/>
        <v>1.5</v>
      </c>
      <c r="E129" s="95">
        <f t="shared" si="27"/>
        <v>10</v>
      </c>
      <c r="F129" s="135">
        <f t="shared" si="27"/>
        <v>0.2732</v>
      </c>
      <c r="G129" s="135">
        <f t="shared" ref="G129:H129" si="28">+H67</f>
        <v>1.1200000000000001</v>
      </c>
      <c r="H129" s="135">
        <f t="shared" si="28"/>
        <v>1</v>
      </c>
      <c r="I129" s="135">
        <f t="shared" si="21"/>
        <v>2.46</v>
      </c>
      <c r="J129" s="135">
        <f t="shared" si="22"/>
        <v>2.21</v>
      </c>
      <c r="K129" s="135">
        <f t="shared" si="23"/>
        <v>2.8185750000000001</v>
      </c>
      <c r="L129" s="96">
        <f t="shared" si="24"/>
        <v>28.383136868807821</v>
      </c>
      <c r="M129" s="17"/>
      <c r="N129" s="75">
        <f t="shared" si="15"/>
        <v>3</v>
      </c>
    </row>
    <row r="130" spans="1:14" s="74" customFormat="1" ht="12" customHeight="1">
      <c r="A130" s="169"/>
      <c r="B130" s="140" t="str">
        <f t="shared" ref="B130:F130" si="29">+B68</f>
        <v>S34</v>
      </c>
      <c r="C130" s="140">
        <f t="shared" si="29"/>
        <v>125889</v>
      </c>
      <c r="D130" s="135">
        <f t="shared" si="29"/>
        <v>2.4</v>
      </c>
      <c r="E130" s="95">
        <f t="shared" si="29"/>
        <v>10</v>
      </c>
      <c r="F130" s="135">
        <f t="shared" si="29"/>
        <v>0.2732</v>
      </c>
      <c r="G130" s="135">
        <f t="shared" ref="G130:H130" si="30">+H68</f>
        <v>1.1399999999999999</v>
      </c>
      <c r="H130" s="135">
        <f t="shared" si="30"/>
        <v>1</v>
      </c>
      <c r="I130" s="135">
        <f t="shared" si="21"/>
        <v>2.4950000000000001</v>
      </c>
      <c r="J130" s="135">
        <f t="shared" si="22"/>
        <v>2.2450000000000001</v>
      </c>
      <c r="K130" s="135">
        <f t="shared" si="23"/>
        <v>2.8535750000000002</v>
      </c>
      <c r="L130" s="96">
        <f t="shared" si="24"/>
        <v>28.035008717135522</v>
      </c>
      <c r="M130" s="17"/>
      <c r="N130" s="75">
        <f t="shared" si="15"/>
        <v>3</v>
      </c>
    </row>
    <row r="131" spans="1:14" s="74" customFormat="1" ht="12" customHeight="1">
      <c r="A131" s="169"/>
      <c r="B131" s="140" t="str">
        <f t="shared" ref="B131:F131" si="31">+B69</f>
        <v>S35</v>
      </c>
      <c r="C131" s="140">
        <f t="shared" si="31"/>
        <v>125890</v>
      </c>
      <c r="D131" s="135">
        <f t="shared" si="31"/>
        <v>16.600000000000001</v>
      </c>
      <c r="E131" s="95">
        <f t="shared" si="31"/>
        <v>10</v>
      </c>
      <c r="F131" s="135">
        <f t="shared" si="31"/>
        <v>0.2732</v>
      </c>
      <c r="G131" s="135">
        <f t="shared" ref="G131:H131" si="32">+H69</f>
        <v>1.1200000000000001</v>
      </c>
      <c r="H131" s="135">
        <f t="shared" si="32"/>
        <v>1</v>
      </c>
      <c r="I131" s="135">
        <f t="shared" si="21"/>
        <v>2.46</v>
      </c>
      <c r="J131" s="135">
        <f t="shared" si="22"/>
        <v>2.21</v>
      </c>
      <c r="K131" s="135">
        <f t="shared" si="23"/>
        <v>2.8185750000000001</v>
      </c>
      <c r="L131" s="96">
        <f t="shared" si="24"/>
        <v>28.383136868807821</v>
      </c>
      <c r="M131" s="17"/>
      <c r="N131" s="75">
        <f t="shared" si="15"/>
        <v>3</v>
      </c>
    </row>
    <row r="132" spans="1:14" s="74" customFormat="1" ht="12" customHeight="1">
      <c r="A132" s="169"/>
      <c r="B132" s="140" t="str">
        <f t="shared" ref="B132:F132" si="33">+B70</f>
        <v>S36</v>
      </c>
      <c r="C132" s="140">
        <f t="shared" si="33"/>
        <v>125890</v>
      </c>
      <c r="D132" s="135">
        <f t="shared" si="33"/>
        <v>15.8</v>
      </c>
      <c r="E132" s="95">
        <f t="shared" si="33"/>
        <v>10</v>
      </c>
      <c r="F132" s="135">
        <f t="shared" si="33"/>
        <v>0.2732</v>
      </c>
      <c r="G132" s="135">
        <f t="shared" ref="G132:H132" si="34">+H70</f>
        <v>1.1399999999999999</v>
      </c>
      <c r="H132" s="135">
        <f t="shared" si="34"/>
        <v>1</v>
      </c>
      <c r="I132" s="135">
        <f t="shared" si="21"/>
        <v>2.4950000000000001</v>
      </c>
      <c r="J132" s="135">
        <f t="shared" si="22"/>
        <v>2.2450000000000001</v>
      </c>
      <c r="K132" s="135">
        <f t="shared" si="23"/>
        <v>2.8535750000000002</v>
      </c>
      <c r="L132" s="96">
        <f t="shared" si="24"/>
        <v>28.035008717135522</v>
      </c>
      <c r="M132" s="17"/>
      <c r="N132" s="75">
        <f t="shared" si="15"/>
        <v>3</v>
      </c>
    </row>
    <row r="133" spans="1:14" s="74" customFormat="1" ht="12" customHeight="1">
      <c r="A133" s="169"/>
      <c r="B133" s="140" t="str">
        <f t="shared" ref="B133:F133" si="35">+B71</f>
        <v>S37</v>
      </c>
      <c r="C133" s="140">
        <f t="shared" si="35"/>
        <v>77724</v>
      </c>
      <c r="D133" s="135">
        <f t="shared" si="35"/>
        <v>9.6999999999999993</v>
      </c>
      <c r="E133" s="95">
        <f t="shared" si="35"/>
        <v>10</v>
      </c>
      <c r="F133" s="135">
        <f t="shared" si="35"/>
        <v>0.2732</v>
      </c>
      <c r="G133" s="135">
        <f t="shared" ref="G133:H133" si="36">+H71</f>
        <v>1</v>
      </c>
      <c r="H133" s="135">
        <f t="shared" si="36"/>
        <v>1</v>
      </c>
      <c r="I133" s="135">
        <f t="shared" si="21"/>
        <v>2.25</v>
      </c>
      <c r="J133" s="135">
        <f t="shared" si="22"/>
        <v>2</v>
      </c>
      <c r="K133" s="135">
        <f t="shared" si="23"/>
        <v>2.6085750000000001</v>
      </c>
      <c r="L133" s="96">
        <f t="shared" si="24"/>
        <v>30.668085065600948</v>
      </c>
      <c r="M133" s="17"/>
      <c r="N133" s="75">
        <f t="shared" si="15"/>
        <v>3</v>
      </c>
    </row>
    <row r="134" spans="1:14" s="74" customFormat="1" ht="12" customHeight="1">
      <c r="A134" s="169"/>
      <c r="B134" s="140" t="str">
        <f t="shared" ref="B134:F134" si="37">+B72</f>
        <v>S38</v>
      </c>
      <c r="C134" s="140">
        <f t="shared" si="37"/>
        <v>77975</v>
      </c>
      <c r="D134" s="135">
        <f t="shared" si="37"/>
        <v>6.7</v>
      </c>
      <c r="E134" s="95">
        <f t="shared" si="37"/>
        <v>10</v>
      </c>
      <c r="F134" s="135">
        <f t="shared" si="37"/>
        <v>0.2732</v>
      </c>
      <c r="G134" s="135">
        <f t="shared" ref="G134:H134" si="38">+H72</f>
        <v>1.47</v>
      </c>
      <c r="H134" s="135">
        <f t="shared" si="38"/>
        <v>1</v>
      </c>
      <c r="I134" s="135">
        <f t="shared" si="21"/>
        <v>3.0724999999999998</v>
      </c>
      <c r="J134" s="135">
        <f t="shared" si="22"/>
        <v>2.8224999999999998</v>
      </c>
      <c r="K134" s="135">
        <f t="shared" si="23"/>
        <v>3.4310749999999999</v>
      </c>
      <c r="L134" s="96">
        <f t="shared" si="24"/>
        <v>23.316307571242248</v>
      </c>
      <c r="M134" s="17"/>
      <c r="N134" s="75">
        <f t="shared" si="15"/>
        <v>3</v>
      </c>
    </row>
    <row r="135" spans="1:14" s="74" customFormat="1" ht="12" customHeight="1">
      <c r="A135" s="169"/>
      <c r="B135" s="140" t="str">
        <f t="shared" ref="B135:F135" si="39">+B73</f>
        <v>S39</v>
      </c>
      <c r="C135" s="140">
        <f t="shared" si="39"/>
        <v>78120</v>
      </c>
      <c r="D135" s="135">
        <f t="shared" si="39"/>
        <v>8</v>
      </c>
      <c r="E135" s="95">
        <f t="shared" si="39"/>
        <v>10</v>
      </c>
      <c r="F135" s="135">
        <f t="shared" si="39"/>
        <v>0.2732</v>
      </c>
      <c r="G135" s="135">
        <f t="shared" ref="G135:H135" si="40">+H73</f>
        <v>1.01</v>
      </c>
      <c r="H135" s="135">
        <f t="shared" si="40"/>
        <v>1</v>
      </c>
      <c r="I135" s="135">
        <f t="shared" si="21"/>
        <v>2.2675000000000001</v>
      </c>
      <c r="J135" s="135">
        <f t="shared" si="22"/>
        <v>2.0175000000000001</v>
      </c>
      <c r="K135" s="135">
        <f t="shared" si="23"/>
        <v>2.6260750000000002</v>
      </c>
      <c r="L135" s="96">
        <f t="shared" si="24"/>
        <v>30.463714859628912</v>
      </c>
      <c r="M135" s="17"/>
      <c r="N135" s="75">
        <f t="shared" si="15"/>
        <v>3</v>
      </c>
    </row>
    <row r="136" spans="1:14" s="74" customFormat="1" ht="12" customHeight="1">
      <c r="A136" s="169"/>
      <c r="B136" s="140" t="str">
        <f t="shared" ref="B136:F136" si="41">+B74</f>
        <v>S46</v>
      </c>
      <c r="C136" s="140" t="str">
        <f t="shared" si="41"/>
        <v>PV-03</v>
      </c>
      <c r="D136" s="135">
        <f t="shared" si="41"/>
        <v>1.5</v>
      </c>
      <c r="E136" s="95">
        <f t="shared" si="41"/>
        <v>10</v>
      </c>
      <c r="F136" s="135">
        <f t="shared" si="41"/>
        <v>0.2732</v>
      </c>
      <c r="G136" s="135">
        <f t="shared" ref="G136:H136" si="42">+H74</f>
        <v>1.7</v>
      </c>
      <c r="H136" s="135">
        <f t="shared" si="42"/>
        <v>1</v>
      </c>
      <c r="I136" s="135">
        <f t="shared" si="21"/>
        <v>3.4750000000000001</v>
      </c>
      <c r="J136" s="135">
        <f t="shared" si="22"/>
        <v>3.2250000000000001</v>
      </c>
      <c r="K136" s="135">
        <f t="shared" si="23"/>
        <v>3.8335750000000002</v>
      </c>
      <c r="L136" s="96">
        <f t="shared" si="24"/>
        <v>20.868249610350652</v>
      </c>
      <c r="M136" s="17"/>
      <c r="N136" s="75">
        <f t="shared" si="15"/>
        <v>3</v>
      </c>
    </row>
    <row r="137" spans="1:14" s="74" customFormat="1" ht="12" customHeight="1">
      <c r="A137" s="169"/>
      <c r="B137" s="140" t="str">
        <f t="shared" ref="B137:F137" si="43">+B75</f>
        <v>S47</v>
      </c>
      <c r="C137" s="140" t="str">
        <f t="shared" si="43"/>
        <v>PV-03</v>
      </c>
      <c r="D137" s="135">
        <f t="shared" si="43"/>
        <v>2</v>
      </c>
      <c r="E137" s="95">
        <f t="shared" si="43"/>
        <v>10</v>
      </c>
      <c r="F137" s="135">
        <f t="shared" si="43"/>
        <v>0.2732</v>
      </c>
      <c r="G137" s="135">
        <f t="shared" ref="G137:H137" si="44">+H75</f>
        <v>1.7</v>
      </c>
      <c r="H137" s="135">
        <f t="shared" si="44"/>
        <v>1</v>
      </c>
      <c r="I137" s="135">
        <f t="shared" si="21"/>
        <v>3.4750000000000001</v>
      </c>
      <c r="J137" s="135">
        <f t="shared" si="22"/>
        <v>3.2250000000000001</v>
      </c>
      <c r="K137" s="135">
        <f t="shared" si="23"/>
        <v>3.8335750000000002</v>
      </c>
      <c r="L137" s="96">
        <f t="shared" si="24"/>
        <v>20.868249610350652</v>
      </c>
      <c r="M137" s="17"/>
      <c r="N137" s="75">
        <f t="shared" si="15"/>
        <v>3</v>
      </c>
    </row>
    <row r="138" spans="1:14" s="74" customFormat="1" ht="12" customHeight="1">
      <c r="A138" s="169"/>
      <c r="B138" s="140" t="str">
        <f t="shared" ref="B138:F138" si="45">+B76</f>
        <v>S48</v>
      </c>
      <c r="C138" s="140">
        <f t="shared" si="45"/>
        <v>78745</v>
      </c>
      <c r="D138" s="135">
        <f t="shared" si="45"/>
        <v>11.7</v>
      </c>
      <c r="E138" s="95">
        <f t="shared" si="45"/>
        <v>10</v>
      </c>
      <c r="F138" s="135">
        <f t="shared" si="45"/>
        <v>0.2732</v>
      </c>
      <c r="G138" s="135">
        <f t="shared" ref="G138:H138" si="46">+H76</f>
        <v>1.1399999999999999</v>
      </c>
      <c r="H138" s="135">
        <f t="shared" si="46"/>
        <v>1</v>
      </c>
      <c r="I138" s="135">
        <f t="shared" si="21"/>
        <v>2.4950000000000001</v>
      </c>
      <c r="J138" s="135">
        <f t="shared" si="22"/>
        <v>2.2450000000000001</v>
      </c>
      <c r="K138" s="135">
        <f t="shared" si="23"/>
        <v>2.8535750000000002</v>
      </c>
      <c r="L138" s="96">
        <f t="shared" si="24"/>
        <v>28.035008717135522</v>
      </c>
      <c r="M138" s="17"/>
      <c r="N138" s="75">
        <f t="shared" si="15"/>
        <v>3</v>
      </c>
    </row>
    <row r="139" spans="1:14" s="74" customFormat="1" ht="12" customHeight="1">
      <c r="A139" s="169"/>
      <c r="B139" s="140" t="str">
        <f t="shared" ref="B139:F139" si="47">+B77</f>
        <v>S49</v>
      </c>
      <c r="C139" s="140">
        <f t="shared" si="47"/>
        <v>78745</v>
      </c>
      <c r="D139" s="135">
        <f t="shared" si="47"/>
        <v>12.1</v>
      </c>
      <c r="E139" s="95">
        <f t="shared" si="47"/>
        <v>10</v>
      </c>
      <c r="F139" s="135">
        <f t="shared" si="47"/>
        <v>0.2732</v>
      </c>
      <c r="G139" s="135">
        <f t="shared" ref="G139:H139" si="48">+H77</f>
        <v>1.17</v>
      </c>
      <c r="H139" s="135">
        <f t="shared" si="48"/>
        <v>1</v>
      </c>
      <c r="I139" s="135">
        <f t="shared" si="21"/>
        <v>2.5474999999999999</v>
      </c>
      <c r="J139" s="135">
        <f t="shared" si="22"/>
        <v>2.2974999999999999</v>
      </c>
      <c r="K139" s="135">
        <f t="shared" si="23"/>
        <v>2.906075</v>
      </c>
      <c r="L139" s="96">
        <f t="shared" si="24"/>
        <v>27.528539352907273</v>
      </c>
      <c r="M139" s="17"/>
      <c r="N139" s="75">
        <f t="shared" si="15"/>
        <v>3</v>
      </c>
    </row>
    <row r="140" spans="1:14" s="74" customFormat="1" ht="12" customHeight="1">
      <c r="A140" s="169"/>
      <c r="B140" s="140" t="str">
        <f t="shared" ref="B140:F140" si="49">+B78</f>
        <v>S50</v>
      </c>
      <c r="C140" s="140">
        <f t="shared" si="49"/>
        <v>77970</v>
      </c>
      <c r="D140" s="135">
        <f t="shared" si="49"/>
        <v>7.3</v>
      </c>
      <c r="E140" s="95">
        <f t="shared" si="49"/>
        <v>10</v>
      </c>
      <c r="F140" s="135">
        <f t="shared" si="49"/>
        <v>0.2732</v>
      </c>
      <c r="G140" s="135">
        <f t="shared" ref="G140:H140" si="50">+H78</f>
        <v>1.1299999999999999</v>
      </c>
      <c r="H140" s="135">
        <f t="shared" si="50"/>
        <v>1</v>
      </c>
      <c r="I140" s="135">
        <f t="shared" si="21"/>
        <v>2.4775</v>
      </c>
      <c r="J140" s="135">
        <f t="shared" si="22"/>
        <v>2.2275</v>
      </c>
      <c r="K140" s="135">
        <f t="shared" si="23"/>
        <v>2.8360750000000001</v>
      </c>
      <c r="L140" s="96">
        <f t="shared" si="24"/>
        <v>28.207998730640057</v>
      </c>
      <c r="M140" s="17"/>
      <c r="N140" s="75">
        <f t="shared" si="15"/>
        <v>3</v>
      </c>
    </row>
    <row r="141" spans="1:14" s="74" customFormat="1" ht="12" customHeight="1">
      <c r="A141" s="169"/>
      <c r="B141" s="140" t="str">
        <f t="shared" ref="B141:F141" si="51">+B79</f>
        <v>S51</v>
      </c>
      <c r="C141" s="140">
        <f t="shared" si="51"/>
        <v>77970</v>
      </c>
      <c r="D141" s="135">
        <f t="shared" si="51"/>
        <v>2.8</v>
      </c>
      <c r="E141" s="95">
        <f t="shared" si="51"/>
        <v>10</v>
      </c>
      <c r="F141" s="135">
        <f t="shared" si="51"/>
        <v>0.2732</v>
      </c>
      <c r="G141" s="135">
        <f t="shared" ref="G141:H141" si="52">+H79</f>
        <v>1.08</v>
      </c>
      <c r="H141" s="135">
        <f t="shared" si="52"/>
        <v>1</v>
      </c>
      <c r="I141" s="135">
        <f t="shared" si="21"/>
        <v>2.39</v>
      </c>
      <c r="J141" s="135">
        <f t="shared" si="22"/>
        <v>2.14</v>
      </c>
      <c r="K141" s="135">
        <f t="shared" si="23"/>
        <v>2.7485750000000002</v>
      </c>
      <c r="L141" s="96">
        <f t="shared" si="24"/>
        <v>29.105991286393856</v>
      </c>
      <c r="M141" s="17"/>
      <c r="N141" s="75">
        <f t="shared" si="15"/>
        <v>3</v>
      </c>
    </row>
    <row r="142" spans="1:14" s="74" customFormat="1" ht="12" customHeight="1">
      <c r="A142" s="169"/>
      <c r="B142" s="140" t="str">
        <f t="shared" ref="B142:F142" si="53">+B80</f>
        <v>S52</v>
      </c>
      <c r="C142" s="140">
        <f t="shared" si="53"/>
        <v>77970</v>
      </c>
      <c r="D142" s="135">
        <f t="shared" si="53"/>
        <v>9.6999999999999993</v>
      </c>
      <c r="E142" s="95">
        <f t="shared" si="53"/>
        <v>10</v>
      </c>
      <c r="F142" s="135">
        <f t="shared" si="53"/>
        <v>0.2732</v>
      </c>
      <c r="G142" s="135">
        <f t="shared" ref="G142:H142" si="54">+H80</f>
        <v>1.5</v>
      </c>
      <c r="H142" s="135">
        <f t="shared" si="54"/>
        <v>1</v>
      </c>
      <c r="I142" s="135">
        <f t="shared" si="21"/>
        <v>3.125</v>
      </c>
      <c r="J142" s="135">
        <f t="shared" si="22"/>
        <v>2.875</v>
      </c>
      <c r="K142" s="135">
        <f t="shared" si="23"/>
        <v>3.4835750000000001</v>
      </c>
      <c r="L142" s="96">
        <f t="shared" si="24"/>
        <v>22.964913917455487</v>
      </c>
      <c r="M142" s="17"/>
      <c r="N142" s="75">
        <f t="shared" si="15"/>
        <v>3</v>
      </c>
    </row>
    <row r="143" spans="1:14" s="74" customFormat="1" ht="12" customHeight="1">
      <c r="A143" s="169"/>
      <c r="B143" s="140" t="str">
        <f t="shared" ref="B143:F143" si="55">+B81</f>
        <v>S53</v>
      </c>
      <c r="C143" s="140">
        <f t="shared" si="55"/>
        <v>77970</v>
      </c>
      <c r="D143" s="135">
        <f t="shared" si="55"/>
        <v>3.6</v>
      </c>
      <c r="E143" s="95">
        <f t="shared" si="55"/>
        <v>10</v>
      </c>
      <c r="F143" s="135">
        <f t="shared" si="55"/>
        <v>0.2732</v>
      </c>
      <c r="G143" s="135">
        <f t="shared" ref="G143:H143" si="56">+H81</f>
        <v>1.3</v>
      </c>
      <c r="H143" s="135">
        <f t="shared" si="56"/>
        <v>1</v>
      </c>
      <c r="I143" s="135">
        <f t="shared" si="21"/>
        <v>2.7749999999999999</v>
      </c>
      <c r="J143" s="135">
        <f t="shared" si="22"/>
        <v>2.5249999999999999</v>
      </c>
      <c r="K143" s="135">
        <f t="shared" si="23"/>
        <v>3.133575</v>
      </c>
      <c r="L143" s="96">
        <f t="shared" si="24"/>
        <v>25.529945828646195</v>
      </c>
      <c r="M143" s="17"/>
      <c r="N143" s="75">
        <f t="shared" si="15"/>
        <v>3</v>
      </c>
    </row>
    <row r="144" spans="1:14" s="74" customFormat="1" ht="11.25">
      <c r="E144" s="77"/>
      <c r="F144" s="78"/>
      <c r="G144" s="79"/>
      <c r="H144" s="79"/>
      <c r="I144" s="80"/>
      <c r="J144" s="80"/>
      <c r="K144" s="80"/>
    </row>
    <row r="145" spans="1:27">
      <c r="A145" s="19" t="s">
        <v>24</v>
      </c>
      <c r="D145" s="37"/>
      <c r="E145" s="30"/>
      <c r="F145" s="43"/>
      <c r="G145" s="43"/>
      <c r="H145" s="36"/>
      <c r="I145" s="36"/>
      <c r="J145" s="36"/>
    </row>
    <row r="146" spans="1:27">
      <c r="D146" s="37"/>
      <c r="E146" s="30"/>
      <c r="F146" s="43"/>
      <c r="G146" s="43"/>
      <c r="H146" s="36"/>
      <c r="I146" s="36"/>
      <c r="J146" s="36"/>
    </row>
    <row r="147" spans="1:27">
      <c r="A147" s="298" t="s">
        <v>116</v>
      </c>
      <c r="B147" s="298"/>
      <c r="C147" s="298"/>
      <c r="D147" s="298"/>
      <c r="E147" s="298"/>
      <c r="F147" s="298"/>
      <c r="G147" s="298"/>
      <c r="H147" s="298"/>
      <c r="I147" s="298"/>
      <c r="J147" s="298"/>
      <c r="K147" s="298"/>
      <c r="L147" s="298"/>
      <c r="M147" s="298"/>
    </row>
    <row r="148" spans="1:27">
      <c r="A148" s="298"/>
      <c r="B148" s="298"/>
      <c r="C148" s="298"/>
      <c r="D148" s="298"/>
      <c r="E148" s="298"/>
      <c r="F148" s="298"/>
      <c r="G148" s="298"/>
      <c r="H148" s="298"/>
      <c r="I148" s="298"/>
      <c r="J148" s="298"/>
      <c r="K148" s="298"/>
      <c r="L148" s="298"/>
      <c r="M148" s="298"/>
    </row>
    <row r="149" spans="1:27">
      <c r="D149" s="37"/>
      <c r="E149" s="30"/>
      <c r="F149" s="43"/>
      <c r="G149" s="43"/>
      <c r="H149" s="36"/>
      <c r="I149" s="36"/>
      <c r="J149" s="36"/>
    </row>
    <row r="150" spans="1:27">
      <c r="D150" s="37"/>
      <c r="E150" s="30"/>
      <c r="F150" s="43"/>
      <c r="G150" s="43"/>
      <c r="H150" s="36"/>
      <c r="I150" s="36"/>
      <c r="J150" s="36"/>
      <c r="P150" s="19"/>
      <c r="Q150" s="19"/>
      <c r="R150" s="19"/>
      <c r="S150" s="19"/>
      <c r="T150" s="19"/>
      <c r="U150" s="19"/>
      <c r="V150" s="19"/>
      <c r="Y150" s="19"/>
      <c r="Z150" s="19"/>
    </row>
    <row r="151" spans="1:27">
      <c r="D151" s="37"/>
      <c r="E151" s="30"/>
      <c r="F151" s="43"/>
      <c r="G151" s="43"/>
      <c r="H151" s="36"/>
      <c r="I151" s="36"/>
      <c r="J151" s="36"/>
      <c r="P151" s="19"/>
      <c r="Q151" s="19"/>
      <c r="R151" s="19"/>
      <c r="S151" s="19"/>
      <c r="T151" s="19"/>
      <c r="U151" s="19"/>
      <c r="V151" s="19"/>
      <c r="Y151" s="19"/>
      <c r="Z151" s="19"/>
    </row>
    <row r="152" spans="1:27">
      <c r="D152" s="37"/>
      <c r="E152" s="30"/>
      <c r="F152" s="43"/>
      <c r="G152" s="43"/>
      <c r="H152" s="36"/>
      <c r="I152" s="36"/>
      <c r="J152" s="36"/>
      <c r="P152" s="19"/>
      <c r="Q152" s="19"/>
      <c r="R152" s="19"/>
      <c r="S152" s="19"/>
      <c r="T152" s="19"/>
      <c r="U152" s="19"/>
      <c r="V152" s="19"/>
      <c r="Y152" s="19"/>
      <c r="Z152" s="19"/>
    </row>
    <row r="153" spans="1:27">
      <c r="D153" s="37"/>
      <c r="E153" s="30"/>
      <c r="F153" s="43"/>
      <c r="G153" s="43"/>
      <c r="H153" s="36"/>
      <c r="I153" s="36"/>
      <c r="J153" s="36"/>
      <c r="P153" s="19"/>
      <c r="Q153" s="19"/>
      <c r="R153" s="19"/>
      <c r="S153" s="19"/>
      <c r="T153" s="19"/>
      <c r="U153" s="19"/>
      <c r="V153" s="19"/>
      <c r="Y153" s="19"/>
      <c r="Z153" s="19"/>
    </row>
    <row r="154" spans="1:27">
      <c r="A154" s="17" t="s">
        <v>2</v>
      </c>
      <c r="D154" s="37"/>
      <c r="E154" s="30"/>
      <c r="F154" s="43"/>
      <c r="G154" s="43"/>
      <c r="H154" s="36"/>
      <c r="I154" s="36"/>
      <c r="J154" s="36"/>
      <c r="P154" s="19"/>
      <c r="Q154" s="19"/>
      <c r="R154" s="19"/>
      <c r="S154" s="19"/>
      <c r="T154" s="19"/>
      <c r="U154" s="19"/>
      <c r="V154" s="19"/>
      <c r="Y154" s="19"/>
      <c r="Z154" s="19"/>
    </row>
    <row r="155" spans="1:27">
      <c r="C155" s="44" t="s">
        <v>100</v>
      </c>
      <c r="D155" s="45" t="s">
        <v>25</v>
      </c>
      <c r="E155" s="30"/>
      <c r="F155" s="43"/>
      <c r="G155" s="43"/>
      <c r="H155" s="36"/>
      <c r="I155" s="36"/>
      <c r="J155" s="36"/>
      <c r="O155" s="72"/>
      <c r="P155" s="154"/>
      <c r="Q155" s="154"/>
      <c r="R155" s="154"/>
      <c r="S155" s="19"/>
      <c r="T155" s="19"/>
      <c r="U155" s="19"/>
      <c r="V155" s="19"/>
      <c r="Y155" s="19"/>
      <c r="Z155" s="19"/>
    </row>
    <row r="156" spans="1:27">
      <c r="C156" s="44" t="s">
        <v>101</v>
      </c>
      <c r="D156" s="45" t="s">
        <v>27</v>
      </c>
      <c r="E156" s="30"/>
      <c r="F156" s="43"/>
      <c r="G156" s="43"/>
      <c r="H156" s="36"/>
      <c r="I156" s="36"/>
      <c r="J156" s="36"/>
      <c r="O156" s="126"/>
      <c r="P156" s="155"/>
      <c r="Q156" s="154"/>
      <c r="R156" s="154"/>
      <c r="S156" s="19"/>
      <c r="T156" s="19"/>
      <c r="U156" s="19"/>
      <c r="V156" s="19"/>
      <c r="W156" s="19"/>
      <c r="X156" s="19"/>
      <c r="Y156" s="19"/>
      <c r="Z156" s="19"/>
    </row>
    <row r="157" spans="1:27">
      <c r="C157" s="17" t="s">
        <v>26</v>
      </c>
      <c r="D157" s="45" t="s">
        <v>76</v>
      </c>
      <c r="E157" s="30"/>
      <c r="F157" s="43"/>
      <c r="G157" s="43"/>
      <c r="H157" s="36"/>
      <c r="I157" s="36"/>
      <c r="J157" s="36"/>
      <c r="O157" s="72"/>
      <c r="P157" s="155"/>
      <c r="Q157" s="154"/>
      <c r="R157" s="154"/>
      <c r="S157" s="19"/>
      <c r="T157" s="19"/>
      <c r="U157" s="19"/>
      <c r="V157" s="19"/>
      <c r="W157" s="19"/>
      <c r="X157" s="19"/>
      <c r="Y157" s="19"/>
      <c r="Z157" s="19"/>
    </row>
    <row r="158" spans="1:27" ht="13.5">
      <c r="C158" s="46" t="s">
        <v>102</v>
      </c>
      <c r="D158" s="45" t="s">
        <v>28</v>
      </c>
      <c r="E158" s="30"/>
      <c r="F158" s="43"/>
      <c r="G158" s="43"/>
      <c r="H158" s="36"/>
      <c r="I158" s="36"/>
      <c r="J158" s="36"/>
      <c r="O158" s="72"/>
      <c r="P158" s="155"/>
      <c r="Q158" s="154"/>
      <c r="R158" s="154"/>
    </row>
    <row r="159" spans="1:27">
      <c r="C159" s="17" t="s">
        <v>29</v>
      </c>
      <c r="D159" s="45" t="s">
        <v>30</v>
      </c>
      <c r="E159" s="30"/>
      <c r="F159" s="43"/>
      <c r="G159" s="43"/>
      <c r="H159" s="36"/>
      <c r="I159" s="36"/>
      <c r="J159" s="36"/>
      <c r="O159" s="72"/>
      <c r="P159" s="72"/>
      <c r="Q159" s="72"/>
      <c r="R159" s="72"/>
    </row>
    <row r="160" spans="1:27">
      <c r="C160" s="17" t="s">
        <v>31</v>
      </c>
      <c r="D160" s="45" t="s">
        <v>32</v>
      </c>
      <c r="E160" s="30"/>
      <c r="F160" s="43"/>
      <c r="G160" s="43"/>
      <c r="H160" s="36"/>
      <c r="I160" s="36"/>
      <c r="J160" s="36"/>
      <c r="O160" s="72"/>
      <c r="P160" s="72"/>
      <c r="Q160" s="72"/>
      <c r="R160" s="72"/>
      <c r="S160" s="301" t="s">
        <v>50</v>
      </c>
      <c r="T160" s="301" t="s">
        <v>51</v>
      </c>
      <c r="U160" s="301"/>
      <c r="V160" s="301"/>
      <c r="W160" s="301"/>
      <c r="X160" s="301"/>
      <c r="Y160" s="301"/>
      <c r="Z160" s="301"/>
      <c r="AA160" s="301"/>
    </row>
    <row r="161" spans="1:240">
      <c r="D161" s="45" t="s">
        <v>33</v>
      </c>
      <c r="E161" s="30"/>
      <c r="F161" s="43"/>
      <c r="G161" s="43"/>
      <c r="H161" s="36"/>
      <c r="I161" s="36"/>
      <c r="J161" s="36"/>
      <c r="O161" s="19"/>
      <c r="S161" s="301"/>
      <c r="T161" s="116">
        <v>1.25</v>
      </c>
      <c r="U161" s="116">
        <v>1.5</v>
      </c>
      <c r="V161" s="116">
        <v>1.75</v>
      </c>
      <c r="W161" s="116">
        <v>2</v>
      </c>
      <c r="X161" s="116">
        <v>2.5</v>
      </c>
      <c r="Y161" s="116">
        <v>3</v>
      </c>
      <c r="Z161" s="116">
        <v>4</v>
      </c>
      <c r="AA161" s="116">
        <v>5</v>
      </c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  <c r="BH161" s="19"/>
      <c r="BI161" s="19"/>
      <c r="BJ161" s="19"/>
      <c r="BK161" s="19"/>
      <c r="BL161" s="19"/>
      <c r="BM161" s="19"/>
      <c r="BN161" s="19"/>
      <c r="BO161" s="19"/>
      <c r="BP161" s="19"/>
      <c r="BQ161" s="19"/>
      <c r="BR161" s="19"/>
      <c r="BS161" s="19"/>
      <c r="BT161" s="19"/>
      <c r="BU161" s="19"/>
      <c r="BV161" s="19"/>
      <c r="BW161" s="19"/>
      <c r="BX161" s="19"/>
      <c r="BY161" s="19"/>
      <c r="BZ161" s="19"/>
      <c r="CA161" s="19"/>
      <c r="CB161" s="19"/>
      <c r="CC161" s="19"/>
      <c r="CD161" s="19"/>
      <c r="CE161" s="19"/>
      <c r="CF161" s="19"/>
      <c r="CG161" s="19"/>
      <c r="CH161" s="19"/>
      <c r="CI161" s="19"/>
      <c r="CJ161" s="19"/>
      <c r="CK161" s="19"/>
      <c r="CL161" s="19"/>
      <c r="CM161" s="19"/>
      <c r="CN161" s="19"/>
      <c r="CO161" s="19"/>
      <c r="CP161" s="19"/>
      <c r="CQ161" s="19"/>
      <c r="CR161" s="19"/>
      <c r="CS161" s="19"/>
      <c r="CT161" s="19"/>
      <c r="CU161" s="19"/>
      <c r="CV161" s="19"/>
      <c r="CW161" s="19"/>
      <c r="CX161" s="19"/>
      <c r="CY161" s="19"/>
      <c r="CZ161" s="19"/>
      <c r="DA161" s="19"/>
      <c r="DB161" s="19"/>
      <c r="DC161" s="19"/>
      <c r="DD161" s="19"/>
      <c r="DE161" s="19"/>
      <c r="DF161" s="19"/>
      <c r="DG161" s="19"/>
      <c r="DH161" s="19"/>
      <c r="DI161" s="19"/>
      <c r="DJ161" s="19"/>
      <c r="DK161" s="19"/>
      <c r="DL161" s="19"/>
      <c r="DM161" s="19"/>
      <c r="DN161" s="19"/>
      <c r="DO161" s="19"/>
      <c r="DP161" s="19"/>
      <c r="DQ161" s="19"/>
      <c r="DR161" s="19"/>
      <c r="DS161" s="19"/>
      <c r="DT161" s="19"/>
      <c r="DU161" s="19"/>
      <c r="DV161" s="19"/>
      <c r="DW161" s="19"/>
      <c r="DX161" s="19"/>
      <c r="DY161" s="19"/>
      <c r="DZ161" s="19"/>
      <c r="EA161" s="19"/>
      <c r="EB161" s="19"/>
      <c r="EC161" s="19"/>
      <c r="ED161" s="19"/>
      <c r="EE161" s="19"/>
      <c r="EF161" s="19"/>
      <c r="EG161" s="19"/>
      <c r="EH161" s="19"/>
      <c r="EI161" s="19"/>
      <c r="EJ161" s="19"/>
      <c r="EK161" s="19"/>
      <c r="EL161" s="19"/>
      <c r="EM161" s="19"/>
      <c r="EN161" s="19"/>
      <c r="EO161" s="19"/>
      <c r="EP161" s="19"/>
      <c r="EQ161" s="19"/>
      <c r="ER161" s="19"/>
      <c r="ES161" s="19"/>
      <c r="ET161" s="19"/>
      <c r="EU161" s="19"/>
      <c r="EV161" s="19"/>
      <c r="EW161" s="19"/>
      <c r="EX161" s="19"/>
      <c r="EY161" s="19"/>
      <c r="EZ161" s="19"/>
      <c r="FA161" s="19"/>
      <c r="FB161" s="19"/>
      <c r="FC161" s="19"/>
      <c r="FD161" s="19"/>
      <c r="FE161" s="19"/>
      <c r="FF161" s="19"/>
      <c r="FG161" s="19"/>
      <c r="FH161" s="19"/>
      <c r="FI161" s="19"/>
      <c r="FJ161" s="19"/>
      <c r="FK161" s="19"/>
      <c r="FL161" s="19"/>
      <c r="FM161" s="19"/>
      <c r="FN161" s="19"/>
      <c r="FO161" s="19"/>
      <c r="FP161" s="19"/>
      <c r="FQ161" s="19"/>
      <c r="FR161" s="19"/>
      <c r="FS161" s="19"/>
      <c r="FT161" s="19"/>
      <c r="FU161" s="19"/>
      <c r="FV161" s="19"/>
      <c r="FW161" s="19"/>
      <c r="FX161" s="19"/>
      <c r="FY161" s="19"/>
      <c r="FZ161" s="19"/>
      <c r="GA161" s="19"/>
      <c r="GB161" s="19"/>
      <c r="GC161" s="19"/>
      <c r="GD161" s="19"/>
      <c r="GE161" s="19"/>
      <c r="GF161" s="19"/>
      <c r="GG161" s="19"/>
      <c r="GH161" s="19"/>
      <c r="GI161" s="19"/>
      <c r="GJ161" s="19"/>
      <c r="GK161" s="19"/>
      <c r="GL161" s="19"/>
      <c r="GM161" s="19"/>
      <c r="GN161" s="19"/>
      <c r="GO161" s="19"/>
      <c r="GP161" s="19"/>
      <c r="GQ161" s="19"/>
      <c r="GR161" s="19"/>
      <c r="GS161" s="19"/>
      <c r="GT161" s="19"/>
      <c r="GU161" s="19"/>
      <c r="GV161" s="19"/>
      <c r="GW161" s="19"/>
      <c r="GX161" s="19"/>
      <c r="GY161" s="19"/>
      <c r="GZ161" s="19"/>
      <c r="HA161" s="19"/>
      <c r="HB161" s="19"/>
      <c r="HC161" s="19"/>
      <c r="HD161" s="19"/>
      <c r="HE161" s="19"/>
      <c r="HF161" s="19"/>
      <c r="HG161" s="19"/>
      <c r="HH161" s="19"/>
      <c r="HI161" s="19"/>
      <c r="HJ161" s="19"/>
      <c r="HK161" s="19"/>
      <c r="HL161" s="19"/>
      <c r="HM161" s="19"/>
      <c r="HN161" s="19"/>
      <c r="HO161" s="19"/>
      <c r="HP161" s="19"/>
      <c r="HQ161" s="19"/>
      <c r="HR161" s="19"/>
      <c r="HS161" s="19"/>
      <c r="HT161" s="19"/>
      <c r="HU161" s="19"/>
      <c r="HV161" s="19"/>
      <c r="HW161" s="19"/>
      <c r="HX161" s="19"/>
      <c r="HY161" s="19"/>
      <c r="HZ161" s="19"/>
      <c r="IA161" s="19"/>
      <c r="IB161" s="19"/>
      <c r="IC161" s="19"/>
      <c r="ID161" s="19"/>
      <c r="IE161" s="19"/>
      <c r="IF161" s="19"/>
    </row>
    <row r="162" spans="1:240">
      <c r="C162" s="17" t="s">
        <v>34</v>
      </c>
      <c r="D162" s="45" t="s">
        <v>35</v>
      </c>
      <c r="E162" s="30"/>
      <c r="F162" s="43"/>
      <c r="G162" s="43"/>
      <c r="H162" s="36"/>
      <c r="I162" s="36"/>
      <c r="J162" s="36"/>
      <c r="O162" s="19"/>
      <c r="S162" s="125">
        <v>5.0000000000000001E-3</v>
      </c>
      <c r="T162" s="21">
        <v>0.02</v>
      </c>
      <c r="U162" s="21">
        <v>0.05</v>
      </c>
      <c r="V162" s="21">
        <v>0.08</v>
      </c>
      <c r="W162" s="21">
        <v>0.12</v>
      </c>
      <c r="X162" s="21">
        <v>0.23</v>
      </c>
      <c r="Y162" s="21">
        <v>0.43</v>
      </c>
      <c r="Z162" s="21">
        <v>0.72</v>
      </c>
      <c r="AA162" s="21">
        <v>1</v>
      </c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  <c r="BP162" s="19"/>
      <c r="BQ162" s="19"/>
      <c r="BR162" s="19"/>
      <c r="BS162" s="19"/>
      <c r="BT162" s="19"/>
      <c r="BU162" s="19"/>
      <c r="BV162" s="19"/>
      <c r="BW162" s="19"/>
      <c r="BX162" s="19"/>
      <c r="BY162" s="19"/>
      <c r="BZ162" s="19"/>
      <c r="CA162" s="19"/>
      <c r="CB162" s="19"/>
      <c r="CC162" s="19"/>
      <c r="CD162" s="19"/>
      <c r="CE162" s="19"/>
      <c r="CF162" s="19"/>
      <c r="CG162" s="19"/>
      <c r="CH162" s="19"/>
      <c r="CI162" s="19"/>
      <c r="CJ162" s="19"/>
      <c r="CK162" s="19"/>
      <c r="CL162" s="19"/>
      <c r="CM162" s="19"/>
      <c r="CN162" s="19"/>
      <c r="CO162" s="19"/>
      <c r="CP162" s="19"/>
      <c r="CQ162" s="19"/>
      <c r="CR162" s="19"/>
      <c r="CS162" s="19"/>
      <c r="CT162" s="19"/>
      <c r="CU162" s="19"/>
      <c r="CV162" s="19"/>
      <c r="CW162" s="19"/>
      <c r="CX162" s="19"/>
      <c r="CY162" s="19"/>
      <c r="CZ162" s="19"/>
      <c r="DA162" s="19"/>
      <c r="DB162" s="19"/>
      <c r="DC162" s="19"/>
      <c r="DD162" s="19"/>
      <c r="DE162" s="19"/>
      <c r="DF162" s="19"/>
      <c r="DG162" s="19"/>
      <c r="DH162" s="19"/>
      <c r="DI162" s="19"/>
      <c r="DJ162" s="19"/>
      <c r="DK162" s="19"/>
      <c r="DL162" s="19"/>
      <c r="DM162" s="19"/>
      <c r="DN162" s="19"/>
      <c r="DO162" s="19"/>
      <c r="DP162" s="19"/>
      <c r="DQ162" s="19"/>
      <c r="DR162" s="19"/>
      <c r="DS162" s="19"/>
      <c r="DT162" s="19"/>
      <c r="DU162" s="19"/>
      <c r="DV162" s="19"/>
      <c r="DW162" s="19"/>
      <c r="DX162" s="19"/>
      <c r="DY162" s="19"/>
      <c r="DZ162" s="19"/>
      <c r="EA162" s="19"/>
      <c r="EB162" s="19"/>
      <c r="EC162" s="19"/>
      <c r="ED162" s="19"/>
      <c r="EE162" s="19"/>
      <c r="EF162" s="19"/>
      <c r="EG162" s="19"/>
      <c r="EH162" s="19"/>
      <c r="EI162" s="19"/>
      <c r="EJ162" s="19"/>
      <c r="EK162" s="19"/>
      <c r="EL162" s="19"/>
      <c r="EM162" s="19"/>
      <c r="EN162" s="19"/>
      <c r="EO162" s="19"/>
      <c r="EP162" s="19"/>
      <c r="EQ162" s="19"/>
      <c r="ER162" s="19"/>
      <c r="ES162" s="19"/>
      <c r="ET162" s="19"/>
      <c r="EU162" s="19"/>
      <c r="EV162" s="19"/>
      <c r="EW162" s="19"/>
      <c r="EX162" s="19"/>
      <c r="EY162" s="19"/>
      <c r="EZ162" s="19"/>
      <c r="FA162" s="19"/>
      <c r="FB162" s="19"/>
      <c r="FC162" s="19"/>
      <c r="FD162" s="19"/>
      <c r="FE162" s="19"/>
      <c r="FF162" s="19"/>
      <c r="FG162" s="19"/>
      <c r="FH162" s="19"/>
      <c r="FI162" s="19"/>
      <c r="FJ162" s="19"/>
      <c r="FK162" s="19"/>
      <c r="FL162" s="19"/>
      <c r="FM162" s="19"/>
      <c r="FN162" s="19"/>
      <c r="FO162" s="19"/>
      <c r="FP162" s="19"/>
      <c r="FQ162" s="19"/>
      <c r="FR162" s="19"/>
      <c r="FS162" s="19"/>
      <c r="FT162" s="19"/>
      <c r="FU162" s="19"/>
      <c r="FV162" s="19"/>
      <c r="FW162" s="19"/>
      <c r="FX162" s="19"/>
      <c r="FY162" s="19"/>
      <c r="FZ162" s="19"/>
      <c r="GA162" s="19"/>
      <c r="GB162" s="19"/>
      <c r="GC162" s="19"/>
      <c r="GD162" s="19"/>
      <c r="GE162" s="19"/>
      <c r="GF162" s="19"/>
      <c r="GG162" s="19"/>
      <c r="GH162" s="19"/>
      <c r="GI162" s="19"/>
      <c r="GJ162" s="19"/>
      <c r="GK162" s="19"/>
      <c r="GL162" s="19"/>
      <c r="GM162" s="19"/>
      <c r="GN162" s="19"/>
      <c r="GO162" s="19"/>
      <c r="GP162" s="19"/>
      <c r="GQ162" s="19"/>
      <c r="GR162" s="19"/>
      <c r="GS162" s="19"/>
      <c r="GT162" s="19"/>
      <c r="GU162" s="19"/>
      <c r="GV162" s="19"/>
      <c r="GW162" s="19"/>
      <c r="GX162" s="19"/>
      <c r="GY162" s="19"/>
      <c r="GZ162" s="19"/>
      <c r="HA162" s="19"/>
      <c r="HB162" s="19"/>
      <c r="HC162" s="19"/>
      <c r="HD162" s="19"/>
      <c r="HE162" s="19"/>
      <c r="HF162" s="19"/>
      <c r="HG162" s="19"/>
      <c r="HH162" s="19"/>
      <c r="HI162" s="19"/>
      <c r="HJ162" s="19"/>
      <c r="HK162" s="19"/>
      <c r="HL162" s="19"/>
      <c r="HM162" s="19"/>
      <c r="HN162" s="19"/>
      <c r="HO162" s="19"/>
      <c r="HP162" s="19"/>
      <c r="HQ162" s="19"/>
      <c r="HR162" s="19"/>
      <c r="HS162" s="19"/>
      <c r="HT162" s="19"/>
      <c r="HU162" s="19"/>
      <c r="HV162" s="19"/>
      <c r="HW162" s="19"/>
      <c r="HX162" s="19"/>
      <c r="HY162" s="19"/>
      <c r="HZ162" s="19"/>
      <c r="IA162" s="19"/>
      <c r="IB162" s="19"/>
      <c r="IC162" s="19"/>
      <c r="ID162" s="19"/>
      <c r="IE162" s="19"/>
      <c r="IF162" s="19"/>
    </row>
    <row r="163" spans="1:240">
      <c r="C163" s="17" t="s">
        <v>36</v>
      </c>
      <c r="D163" s="45" t="s">
        <v>37</v>
      </c>
      <c r="E163" s="30"/>
      <c r="F163" s="43"/>
      <c r="G163" s="43"/>
      <c r="H163" s="36"/>
      <c r="I163" s="36"/>
      <c r="J163" s="36"/>
      <c r="O163" s="19"/>
      <c r="S163" s="125">
        <v>0.01</v>
      </c>
      <c r="T163" s="21">
        <v>0.03</v>
      </c>
      <c r="U163" s="21">
        <v>7.0000000000000007E-2</v>
      </c>
      <c r="V163" s="21">
        <v>0.11</v>
      </c>
      <c r="W163" s="21">
        <v>0.15</v>
      </c>
      <c r="X163" s="21">
        <v>0.27</v>
      </c>
      <c r="Y163" s="21">
        <v>0.47</v>
      </c>
      <c r="Z163" s="21">
        <v>0.74</v>
      </c>
      <c r="AA163" s="21">
        <v>1</v>
      </c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19"/>
      <c r="BP163" s="19"/>
      <c r="BQ163" s="19"/>
      <c r="BR163" s="19"/>
      <c r="BS163" s="19"/>
      <c r="BT163" s="19"/>
      <c r="BU163" s="19"/>
      <c r="BV163" s="19"/>
      <c r="BW163" s="19"/>
      <c r="BX163" s="19"/>
      <c r="BY163" s="19"/>
      <c r="BZ163" s="19"/>
      <c r="CA163" s="19"/>
      <c r="CB163" s="19"/>
      <c r="CC163" s="19"/>
      <c r="CD163" s="19"/>
      <c r="CE163" s="19"/>
      <c r="CF163" s="19"/>
      <c r="CG163" s="19"/>
      <c r="CH163" s="19"/>
      <c r="CI163" s="19"/>
      <c r="CJ163" s="19"/>
      <c r="CK163" s="19"/>
      <c r="CL163" s="19"/>
      <c r="CM163" s="19"/>
      <c r="CN163" s="19"/>
      <c r="CO163" s="19"/>
      <c r="CP163" s="19"/>
      <c r="CQ163" s="19"/>
      <c r="CR163" s="19"/>
      <c r="CS163" s="19"/>
      <c r="CT163" s="19"/>
      <c r="CU163" s="19"/>
      <c r="CV163" s="19"/>
      <c r="CW163" s="19"/>
      <c r="CX163" s="19"/>
      <c r="CY163" s="19"/>
      <c r="CZ163" s="19"/>
      <c r="DA163" s="19"/>
      <c r="DB163" s="19"/>
      <c r="DC163" s="19"/>
      <c r="DD163" s="19"/>
      <c r="DE163" s="19"/>
      <c r="DF163" s="19"/>
      <c r="DG163" s="19"/>
      <c r="DH163" s="19"/>
      <c r="DI163" s="19"/>
      <c r="DJ163" s="19"/>
      <c r="DK163" s="19"/>
      <c r="DL163" s="19"/>
      <c r="DM163" s="19"/>
      <c r="DN163" s="19"/>
      <c r="DO163" s="19"/>
      <c r="DP163" s="19"/>
      <c r="DQ163" s="19"/>
      <c r="DR163" s="19"/>
      <c r="DS163" s="19"/>
      <c r="DT163" s="19"/>
      <c r="DU163" s="19"/>
      <c r="DV163" s="19"/>
      <c r="DW163" s="19"/>
      <c r="DX163" s="19"/>
      <c r="DY163" s="19"/>
      <c r="DZ163" s="19"/>
      <c r="EA163" s="19"/>
      <c r="EB163" s="19"/>
      <c r="EC163" s="19"/>
      <c r="ED163" s="19"/>
      <c r="EE163" s="19"/>
      <c r="EF163" s="19"/>
      <c r="EG163" s="19"/>
      <c r="EH163" s="19"/>
      <c r="EI163" s="19"/>
      <c r="EJ163" s="19"/>
      <c r="EK163" s="19"/>
      <c r="EL163" s="19"/>
      <c r="EM163" s="19"/>
      <c r="EN163" s="19"/>
      <c r="EO163" s="19"/>
      <c r="EP163" s="19"/>
      <c r="EQ163" s="19"/>
      <c r="ER163" s="19"/>
      <c r="ES163" s="19"/>
      <c r="ET163" s="19"/>
      <c r="EU163" s="19"/>
      <c r="EV163" s="19"/>
      <c r="EW163" s="19"/>
      <c r="EX163" s="19"/>
      <c r="EY163" s="19"/>
      <c r="EZ163" s="19"/>
      <c r="FA163" s="19"/>
      <c r="FB163" s="19"/>
      <c r="FC163" s="19"/>
      <c r="FD163" s="19"/>
      <c r="FE163" s="19"/>
      <c r="FF163" s="19"/>
      <c r="FG163" s="19"/>
      <c r="FH163" s="19"/>
      <c r="FI163" s="19"/>
      <c r="FJ163" s="19"/>
      <c r="FK163" s="19"/>
      <c r="FL163" s="19"/>
      <c r="FM163" s="19"/>
      <c r="FN163" s="19"/>
      <c r="FO163" s="19"/>
      <c r="FP163" s="19"/>
      <c r="FQ163" s="19"/>
      <c r="FR163" s="19"/>
      <c r="FS163" s="19"/>
      <c r="FT163" s="19"/>
      <c r="FU163" s="19"/>
      <c r="FV163" s="19"/>
      <c r="FW163" s="19"/>
      <c r="FX163" s="19"/>
      <c r="FY163" s="19"/>
      <c r="FZ163" s="19"/>
      <c r="GA163" s="19"/>
      <c r="GB163" s="19"/>
      <c r="GC163" s="19"/>
      <c r="GD163" s="19"/>
      <c r="GE163" s="19"/>
      <c r="GF163" s="19"/>
      <c r="GG163" s="19"/>
      <c r="GH163" s="19"/>
      <c r="GI163" s="19"/>
      <c r="GJ163" s="19"/>
      <c r="GK163" s="19"/>
      <c r="GL163" s="19"/>
      <c r="GM163" s="19"/>
      <c r="GN163" s="19"/>
      <c r="GO163" s="19"/>
      <c r="GP163" s="19"/>
      <c r="GQ163" s="19"/>
      <c r="GR163" s="19"/>
      <c r="GS163" s="19"/>
      <c r="GT163" s="19"/>
      <c r="GU163" s="19"/>
      <c r="GV163" s="19"/>
      <c r="GW163" s="19"/>
      <c r="GX163" s="19"/>
      <c r="GY163" s="19"/>
      <c r="GZ163" s="19"/>
      <c r="HA163" s="19"/>
      <c r="HB163" s="19"/>
      <c r="HC163" s="19"/>
      <c r="HD163" s="19"/>
      <c r="HE163" s="19"/>
      <c r="HF163" s="19"/>
      <c r="HG163" s="19"/>
      <c r="HH163" s="19"/>
      <c r="HI163" s="19"/>
      <c r="HJ163" s="19"/>
      <c r="HK163" s="19"/>
      <c r="HL163" s="19"/>
      <c r="HM163" s="19"/>
      <c r="HN163" s="19"/>
      <c r="HO163" s="19"/>
      <c r="HP163" s="19"/>
      <c r="HQ163" s="19"/>
      <c r="HR163" s="19"/>
      <c r="HS163" s="19"/>
      <c r="HT163" s="19"/>
      <c r="HU163" s="19"/>
      <c r="HV163" s="19"/>
      <c r="HW163" s="19"/>
      <c r="HX163" s="19"/>
      <c r="HY163" s="19"/>
      <c r="HZ163" s="19"/>
      <c r="IA163" s="19"/>
      <c r="IB163" s="19"/>
      <c r="IC163" s="19"/>
      <c r="ID163" s="19"/>
      <c r="IE163" s="19"/>
      <c r="IF163" s="19"/>
    </row>
    <row r="164" spans="1:240" ht="13.5">
      <c r="C164" s="17" t="s">
        <v>38</v>
      </c>
      <c r="D164" s="45" t="s">
        <v>103</v>
      </c>
      <c r="E164" s="30"/>
      <c r="F164" s="43"/>
      <c r="G164" s="43"/>
      <c r="H164" s="36"/>
      <c r="I164" s="36"/>
      <c r="J164" s="36"/>
      <c r="O164" s="19"/>
      <c r="S164" s="125">
        <v>0.02</v>
      </c>
      <c r="T164" s="21">
        <v>0.05</v>
      </c>
      <c r="U164" s="21">
        <v>0.1</v>
      </c>
      <c r="V164" s="21">
        <v>0.15</v>
      </c>
      <c r="W164" s="21">
        <v>0.2</v>
      </c>
      <c r="X164" s="21">
        <v>0.32</v>
      </c>
      <c r="Y164" s="21">
        <v>0.52</v>
      </c>
      <c r="Z164" s="21">
        <v>0.77</v>
      </c>
      <c r="AA164" s="21">
        <v>1</v>
      </c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  <c r="BI164" s="19"/>
      <c r="BJ164" s="19"/>
      <c r="BK164" s="19"/>
      <c r="BL164" s="19"/>
      <c r="BM164" s="19"/>
      <c r="BN164" s="19"/>
      <c r="BO164" s="19"/>
      <c r="BP164" s="19"/>
      <c r="BQ164" s="19"/>
      <c r="BR164" s="19"/>
      <c r="BS164" s="19"/>
      <c r="BT164" s="19"/>
      <c r="BU164" s="19"/>
      <c r="BV164" s="19"/>
      <c r="BW164" s="19"/>
      <c r="BX164" s="19"/>
      <c r="BY164" s="19"/>
      <c r="BZ164" s="19"/>
      <c r="CA164" s="19"/>
      <c r="CB164" s="19"/>
      <c r="CC164" s="19"/>
      <c r="CD164" s="19"/>
      <c r="CE164" s="19"/>
      <c r="CF164" s="19"/>
      <c r="CG164" s="19"/>
      <c r="CH164" s="19"/>
      <c r="CI164" s="19"/>
      <c r="CJ164" s="19"/>
      <c r="CK164" s="19"/>
      <c r="CL164" s="19"/>
      <c r="CM164" s="19"/>
      <c r="CN164" s="19"/>
      <c r="CO164" s="19"/>
      <c r="CP164" s="19"/>
      <c r="CQ164" s="19"/>
      <c r="CR164" s="19"/>
      <c r="CS164" s="19"/>
      <c r="CT164" s="19"/>
      <c r="CU164" s="19"/>
      <c r="CV164" s="19"/>
      <c r="CW164" s="19"/>
      <c r="CX164" s="19"/>
      <c r="CY164" s="19"/>
      <c r="CZ164" s="19"/>
      <c r="DA164" s="19"/>
      <c r="DB164" s="19"/>
      <c r="DC164" s="19"/>
      <c r="DD164" s="19"/>
      <c r="DE164" s="19"/>
      <c r="DF164" s="19"/>
      <c r="DG164" s="19"/>
      <c r="DH164" s="19"/>
      <c r="DI164" s="19"/>
      <c r="DJ164" s="19"/>
      <c r="DK164" s="19"/>
      <c r="DL164" s="19"/>
      <c r="DM164" s="19"/>
      <c r="DN164" s="19"/>
      <c r="DO164" s="19"/>
      <c r="DP164" s="19"/>
      <c r="DQ164" s="19"/>
      <c r="DR164" s="19"/>
      <c r="DS164" s="19"/>
      <c r="DT164" s="19"/>
      <c r="DU164" s="19"/>
      <c r="DV164" s="19"/>
      <c r="DW164" s="19"/>
      <c r="DX164" s="19"/>
      <c r="DY164" s="19"/>
      <c r="DZ164" s="19"/>
      <c r="EA164" s="19"/>
      <c r="EB164" s="19"/>
      <c r="EC164" s="19"/>
      <c r="ED164" s="19"/>
      <c r="EE164" s="19"/>
      <c r="EF164" s="19"/>
      <c r="EG164" s="19"/>
      <c r="EH164" s="19"/>
      <c r="EI164" s="19"/>
      <c r="EJ164" s="19"/>
      <c r="EK164" s="19"/>
      <c r="EL164" s="19"/>
      <c r="EM164" s="19"/>
      <c r="EN164" s="19"/>
      <c r="EO164" s="19"/>
      <c r="EP164" s="19"/>
      <c r="EQ164" s="19"/>
      <c r="ER164" s="19"/>
      <c r="ES164" s="19"/>
      <c r="ET164" s="19"/>
      <c r="EU164" s="19"/>
      <c r="EV164" s="19"/>
      <c r="EW164" s="19"/>
      <c r="EX164" s="19"/>
      <c r="EY164" s="19"/>
      <c r="EZ164" s="19"/>
      <c r="FA164" s="19"/>
      <c r="FB164" s="19"/>
      <c r="FC164" s="19"/>
      <c r="FD164" s="19"/>
      <c r="FE164" s="19"/>
      <c r="FF164" s="19"/>
      <c r="FG164" s="19"/>
      <c r="FH164" s="19"/>
      <c r="FI164" s="19"/>
      <c r="FJ164" s="19"/>
      <c r="FK164" s="19"/>
      <c r="FL164" s="19"/>
      <c r="FM164" s="19"/>
      <c r="FN164" s="19"/>
      <c r="FO164" s="19"/>
      <c r="FP164" s="19"/>
      <c r="FQ164" s="19"/>
      <c r="FR164" s="19"/>
      <c r="FS164" s="19"/>
      <c r="FT164" s="19"/>
      <c r="FU164" s="19"/>
      <c r="FV164" s="19"/>
      <c r="FW164" s="19"/>
      <c r="FX164" s="19"/>
      <c r="FY164" s="19"/>
      <c r="FZ164" s="19"/>
      <c r="GA164" s="19"/>
      <c r="GB164" s="19"/>
      <c r="GC164" s="19"/>
      <c r="GD164" s="19"/>
      <c r="GE164" s="19"/>
      <c r="GF164" s="19"/>
      <c r="GG164" s="19"/>
      <c r="GH164" s="19"/>
      <c r="GI164" s="19"/>
      <c r="GJ164" s="19"/>
      <c r="GK164" s="19"/>
      <c r="GL164" s="19"/>
      <c r="GM164" s="19"/>
      <c r="GN164" s="19"/>
      <c r="GO164" s="19"/>
      <c r="GP164" s="19"/>
      <c r="GQ164" s="19"/>
      <c r="GR164" s="19"/>
      <c r="GS164" s="19"/>
      <c r="GT164" s="19"/>
      <c r="GU164" s="19"/>
      <c r="GV164" s="19"/>
      <c r="GW164" s="19"/>
      <c r="GX164" s="19"/>
      <c r="GY164" s="19"/>
      <c r="GZ164" s="19"/>
      <c r="HA164" s="19"/>
      <c r="HB164" s="19"/>
      <c r="HC164" s="19"/>
      <c r="HD164" s="19"/>
      <c r="HE164" s="19"/>
      <c r="HF164" s="19"/>
      <c r="HG164" s="19"/>
      <c r="HH164" s="19"/>
      <c r="HI164" s="19"/>
      <c r="HJ164" s="19"/>
      <c r="HK164" s="19"/>
      <c r="HL164" s="19"/>
      <c r="HM164" s="19"/>
      <c r="HN164" s="19"/>
      <c r="HO164" s="19"/>
      <c r="HP164" s="19"/>
      <c r="HQ164" s="19"/>
      <c r="HR164" s="19"/>
      <c r="HS164" s="19"/>
      <c r="HT164" s="19"/>
      <c r="HU164" s="19"/>
      <c r="HV164" s="19"/>
      <c r="HW164" s="19"/>
      <c r="HX164" s="19"/>
      <c r="HY164" s="19"/>
      <c r="HZ164" s="19"/>
      <c r="IA164" s="19"/>
      <c r="IB164" s="19"/>
      <c r="IC164" s="19"/>
      <c r="ID164" s="19"/>
      <c r="IE164" s="19"/>
    </row>
    <row r="165" spans="1:240">
      <c r="C165" s="17" t="s">
        <v>39</v>
      </c>
      <c r="D165" s="45" t="s">
        <v>40</v>
      </c>
      <c r="E165" s="30"/>
      <c r="F165" s="43"/>
      <c r="G165" s="43"/>
      <c r="H165" s="36"/>
      <c r="I165" s="36"/>
      <c r="J165" s="36"/>
      <c r="O165" s="19"/>
      <c r="S165" s="125">
        <v>0.05</v>
      </c>
      <c r="T165" s="21">
        <v>0.1</v>
      </c>
      <c r="U165" s="21">
        <v>0.15</v>
      </c>
      <c r="V165" s="21">
        <v>0.2</v>
      </c>
      <c r="W165" s="21">
        <v>0.27</v>
      </c>
      <c r="X165" s="21">
        <v>0.38</v>
      </c>
      <c r="Y165" s="21">
        <v>0.57999999999999996</v>
      </c>
      <c r="Z165" s="21">
        <v>0.8</v>
      </c>
      <c r="AA165" s="21">
        <v>1</v>
      </c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19"/>
      <c r="BP165" s="19"/>
      <c r="BQ165" s="19"/>
      <c r="BR165" s="19"/>
      <c r="BS165" s="19"/>
      <c r="BT165" s="19"/>
      <c r="BU165" s="19"/>
      <c r="BV165" s="19"/>
      <c r="BW165" s="19"/>
      <c r="BX165" s="19"/>
      <c r="BY165" s="19"/>
      <c r="BZ165" s="19"/>
      <c r="CA165" s="19"/>
      <c r="CB165" s="19"/>
      <c r="CC165" s="19"/>
      <c r="CD165" s="19"/>
      <c r="CE165" s="19"/>
      <c r="CF165" s="19"/>
      <c r="CG165" s="19"/>
      <c r="CH165" s="19"/>
      <c r="CI165" s="19"/>
      <c r="CJ165" s="19"/>
      <c r="CK165" s="19"/>
      <c r="CL165" s="19"/>
      <c r="CM165" s="19"/>
      <c r="CN165" s="19"/>
      <c r="CO165" s="19"/>
      <c r="CP165" s="19"/>
      <c r="CQ165" s="19"/>
      <c r="CR165" s="19"/>
      <c r="CS165" s="19"/>
      <c r="CT165" s="19"/>
      <c r="CU165" s="19"/>
      <c r="CV165" s="19"/>
      <c r="CW165" s="19"/>
      <c r="CX165" s="19"/>
      <c r="CY165" s="19"/>
      <c r="CZ165" s="19"/>
      <c r="DA165" s="19"/>
      <c r="DB165" s="19"/>
      <c r="DC165" s="19"/>
      <c r="DD165" s="19"/>
      <c r="DE165" s="19"/>
      <c r="DF165" s="19"/>
      <c r="DG165" s="19"/>
      <c r="DH165" s="19"/>
      <c r="DI165" s="19"/>
      <c r="DJ165" s="19"/>
      <c r="DK165" s="19"/>
      <c r="DL165" s="19"/>
      <c r="DM165" s="19"/>
      <c r="DN165" s="19"/>
      <c r="DO165" s="19"/>
      <c r="DP165" s="19"/>
      <c r="DQ165" s="19"/>
      <c r="DR165" s="19"/>
      <c r="DS165" s="19"/>
      <c r="DT165" s="19"/>
      <c r="DU165" s="19"/>
      <c r="DV165" s="19"/>
      <c r="DW165" s="19"/>
      <c r="DX165" s="19"/>
      <c r="DY165" s="19"/>
      <c r="DZ165" s="19"/>
      <c r="EA165" s="19"/>
      <c r="EB165" s="19"/>
      <c r="EC165" s="19"/>
      <c r="ED165" s="19"/>
      <c r="EE165" s="19"/>
      <c r="EF165" s="19"/>
      <c r="EG165" s="19"/>
      <c r="EH165" s="19"/>
      <c r="EI165" s="19"/>
      <c r="EJ165" s="19"/>
      <c r="EK165" s="19"/>
      <c r="EL165" s="19"/>
      <c r="EM165" s="19"/>
      <c r="EN165" s="19"/>
      <c r="EO165" s="19"/>
      <c r="EP165" s="19"/>
      <c r="EQ165" s="19"/>
      <c r="ER165" s="19"/>
      <c r="ES165" s="19"/>
      <c r="ET165" s="19"/>
      <c r="EU165" s="19"/>
      <c r="EV165" s="19"/>
      <c r="EW165" s="19"/>
      <c r="EX165" s="19"/>
      <c r="EY165" s="19"/>
      <c r="EZ165" s="19"/>
      <c r="FA165" s="19"/>
      <c r="FB165" s="19"/>
      <c r="FC165" s="19"/>
      <c r="FD165" s="19"/>
      <c r="FE165" s="19"/>
      <c r="FF165" s="19"/>
      <c r="FG165" s="19"/>
      <c r="FH165" s="19"/>
      <c r="FI165" s="19"/>
      <c r="FJ165" s="19"/>
      <c r="FK165" s="19"/>
      <c r="FL165" s="19"/>
      <c r="FM165" s="19"/>
      <c r="FN165" s="19"/>
      <c r="FO165" s="19"/>
      <c r="FP165" s="19"/>
      <c r="FQ165" s="19"/>
      <c r="FR165" s="19"/>
      <c r="FS165" s="19"/>
      <c r="FT165" s="19"/>
      <c r="FU165" s="19"/>
      <c r="FV165" s="19"/>
      <c r="FW165" s="19"/>
      <c r="FX165" s="19"/>
      <c r="FY165" s="19"/>
      <c r="FZ165" s="19"/>
      <c r="GA165" s="19"/>
      <c r="GB165" s="19"/>
      <c r="GC165" s="19"/>
      <c r="GD165" s="19"/>
      <c r="GE165" s="19"/>
      <c r="GF165" s="19"/>
      <c r="GG165" s="19"/>
      <c r="GH165" s="19"/>
      <c r="GI165" s="19"/>
      <c r="GJ165" s="19"/>
      <c r="GK165" s="19"/>
      <c r="GL165" s="19"/>
      <c r="GM165" s="19"/>
      <c r="GN165" s="19"/>
      <c r="GO165" s="19"/>
      <c r="GP165" s="19"/>
      <c r="GQ165" s="19"/>
      <c r="GR165" s="19"/>
      <c r="GS165" s="19"/>
      <c r="GT165" s="19"/>
      <c r="GU165" s="19"/>
      <c r="GV165" s="19"/>
      <c r="GW165" s="19"/>
      <c r="GX165" s="19"/>
      <c r="GY165" s="19"/>
      <c r="GZ165" s="19"/>
      <c r="HA165" s="19"/>
      <c r="HB165" s="19"/>
      <c r="HC165" s="19"/>
      <c r="HD165" s="19"/>
      <c r="HE165" s="19"/>
      <c r="HF165" s="19"/>
      <c r="HG165" s="19"/>
      <c r="HH165" s="19"/>
      <c r="HI165" s="19"/>
      <c r="HJ165" s="19"/>
      <c r="HK165" s="19"/>
      <c r="HL165" s="19"/>
      <c r="HM165" s="19"/>
      <c r="HN165" s="19"/>
      <c r="HO165" s="19"/>
      <c r="HP165" s="19"/>
      <c r="HQ165" s="19"/>
      <c r="HR165" s="19"/>
      <c r="HS165" s="19"/>
      <c r="HT165" s="19"/>
      <c r="HU165" s="19"/>
      <c r="HV165" s="19"/>
      <c r="HW165" s="19"/>
      <c r="HX165" s="19"/>
      <c r="HY165" s="19"/>
      <c r="HZ165" s="19"/>
      <c r="IA165" s="19"/>
      <c r="IB165" s="19"/>
      <c r="IC165" s="19"/>
      <c r="ID165" s="19"/>
      <c r="IE165" s="19"/>
      <c r="IF165" s="19"/>
    </row>
    <row r="166" spans="1:240">
      <c r="D166" s="45" t="s">
        <v>199</v>
      </c>
      <c r="E166" s="30"/>
      <c r="F166" s="43"/>
      <c r="G166" s="43"/>
      <c r="H166" s="36"/>
      <c r="I166" s="36"/>
      <c r="J166" s="36"/>
      <c r="O166" s="19"/>
      <c r="S166" s="115">
        <v>0.1</v>
      </c>
      <c r="T166" s="21">
        <v>0.15</v>
      </c>
      <c r="U166" s="21">
        <v>0.2</v>
      </c>
      <c r="V166" s="21">
        <v>0.27</v>
      </c>
      <c r="W166" s="21">
        <v>0.35</v>
      </c>
      <c r="X166" s="21">
        <v>0.46</v>
      </c>
      <c r="Y166" s="21">
        <v>0.65</v>
      </c>
      <c r="Z166" s="21">
        <v>0.84</v>
      </c>
      <c r="AA166" s="21">
        <v>1</v>
      </c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  <c r="BP166" s="19"/>
      <c r="BQ166" s="19"/>
      <c r="BR166" s="19"/>
      <c r="BS166" s="19"/>
      <c r="BT166" s="19"/>
      <c r="BU166" s="19"/>
      <c r="BV166" s="19"/>
      <c r="BW166" s="19"/>
      <c r="BX166" s="19"/>
      <c r="BY166" s="19"/>
      <c r="BZ166" s="19"/>
      <c r="CA166" s="19"/>
      <c r="CB166" s="19"/>
      <c r="CC166" s="19"/>
      <c r="CD166" s="19"/>
      <c r="CE166" s="19"/>
      <c r="CF166" s="19"/>
      <c r="CG166" s="19"/>
      <c r="CH166" s="19"/>
      <c r="CI166" s="19"/>
      <c r="CJ166" s="19"/>
      <c r="CK166" s="19"/>
      <c r="CL166" s="19"/>
      <c r="CM166" s="19"/>
      <c r="CN166" s="19"/>
      <c r="CO166" s="19"/>
      <c r="CP166" s="19"/>
      <c r="CQ166" s="19"/>
      <c r="CR166" s="19"/>
      <c r="CS166" s="19"/>
      <c r="CT166" s="19"/>
      <c r="CU166" s="19"/>
      <c r="CV166" s="19"/>
      <c r="CW166" s="19"/>
      <c r="CX166" s="19"/>
      <c r="CY166" s="19"/>
      <c r="CZ166" s="19"/>
      <c r="DA166" s="19"/>
      <c r="DB166" s="19"/>
      <c r="DC166" s="19"/>
      <c r="DD166" s="19"/>
      <c r="DE166" s="19"/>
      <c r="DF166" s="19"/>
      <c r="DG166" s="19"/>
      <c r="DH166" s="19"/>
      <c r="DI166" s="19"/>
      <c r="DJ166" s="19"/>
      <c r="DK166" s="19"/>
      <c r="DL166" s="19"/>
      <c r="DM166" s="19"/>
      <c r="DN166" s="19"/>
      <c r="DO166" s="19"/>
      <c r="DP166" s="19"/>
      <c r="DQ166" s="19"/>
      <c r="DR166" s="19"/>
      <c r="DS166" s="19"/>
      <c r="DT166" s="19"/>
      <c r="DU166" s="19"/>
      <c r="DV166" s="19"/>
      <c r="DW166" s="19"/>
      <c r="DX166" s="19"/>
      <c r="DY166" s="19"/>
      <c r="DZ166" s="19"/>
      <c r="EA166" s="19"/>
      <c r="EB166" s="19"/>
      <c r="EC166" s="19"/>
      <c r="ED166" s="19"/>
      <c r="EE166" s="19"/>
      <c r="EF166" s="19"/>
      <c r="EG166" s="19"/>
      <c r="EH166" s="19"/>
      <c r="EI166" s="19"/>
      <c r="EJ166" s="19"/>
      <c r="EK166" s="19"/>
      <c r="EL166" s="19"/>
      <c r="EM166" s="19"/>
      <c r="EN166" s="19"/>
      <c r="EO166" s="19"/>
      <c r="EP166" s="19"/>
      <c r="EQ166" s="19"/>
      <c r="ER166" s="19"/>
      <c r="ES166" s="19"/>
      <c r="ET166" s="19"/>
      <c r="EU166" s="19"/>
      <c r="EV166" s="19"/>
      <c r="EW166" s="19"/>
      <c r="EX166" s="19"/>
      <c r="EY166" s="19"/>
      <c r="EZ166" s="19"/>
      <c r="FA166" s="19"/>
      <c r="FB166" s="19"/>
      <c r="FC166" s="19"/>
      <c r="FD166" s="19"/>
      <c r="FE166" s="19"/>
      <c r="FF166" s="19"/>
      <c r="FG166" s="19"/>
      <c r="FH166" s="19"/>
      <c r="FI166" s="19"/>
      <c r="FJ166" s="19"/>
      <c r="FK166" s="19"/>
      <c r="FL166" s="19"/>
      <c r="FM166" s="19"/>
      <c r="FN166" s="19"/>
      <c r="FO166" s="19"/>
      <c r="FP166" s="19"/>
      <c r="FQ166" s="19"/>
      <c r="FR166" s="19"/>
      <c r="FS166" s="19"/>
      <c r="FT166" s="19"/>
      <c r="FU166" s="19"/>
      <c r="FV166" s="19"/>
      <c r="FW166" s="19"/>
      <c r="FX166" s="19"/>
      <c r="FY166" s="19"/>
      <c r="FZ166" s="19"/>
      <c r="GA166" s="19"/>
      <c r="GB166" s="19"/>
      <c r="GC166" s="19"/>
      <c r="GD166" s="19"/>
      <c r="GE166" s="19"/>
      <c r="GF166" s="19"/>
      <c r="GG166" s="19"/>
      <c r="GH166" s="19"/>
      <c r="GI166" s="19"/>
      <c r="GJ166" s="19"/>
      <c r="GK166" s="19"/>
      <c r="GL166" s="19"/>
      <c r="GM166" s="19"/>
      <c r="GN166" s="19"/>
      <c r="GO166" s="19"/>
      <c r="GP166" s="19"/>
      <c r="GQ166" s="19"/>
      <c r="GR166" s="19"/>
      <c r="GS166" s="19"/>
      <c r="GT166" s="19"/>
      <c r="GU166" s="19"/>
      <c r="GV166" s="19"/>
      <c r="GW166" s="19"/>
      <c r="GX166" s="19"/>
      <c r="GY166" s="19"/>
      <c r="GZ166" s="19"/>
      <c r="HA166" s="19"/>
      <c r="HB166" s="19"/>
      <c r="HC166" s="19"/>
      <c r="HD166" s="19"/>
      <c r="HE166" s="19"/>
      <c r="HF166" s="19"/>
      <c r="HG166" s="19"/>
      <c r="HH166" s="19"/>
      <c r="HI166" s="19"/>
      <c r="HJ166" s="19"/>
      <c r="HK166" s="19"/>
      <c r="HL166" s="19"/>
      <c r="HM166" s="19"/>
      <c r="HN166" s="19"/>
      <c r="HO166" s="19"/>
      <c r="HP166" s="19"/>
      <c r="HQ166" s="19"/>
      <c r="HR166" s="19"/>
      <c r="HS166" s="19"/>
      <c r="HT166" s="19"/>
      <c r="HU166" s="19"/>
      <c r="HV166" s="19"/>
      <c r="HW166" s="19"/>
      <c r="HX166" s="19"/>
      <c r="HY166" s="19"/>
      <c r="HZ166" s="19"/>
      <c r="IA166" s="19"/>
      <c r="IB166" s="19"/>
      <c r="IC166" s="19"/>
      <c r="ID166" s="19"/>
      <c r="IE166" s="19"/>
      <c r="IF166" s="19"/>
    </row>
    <row r="167" spans="1:240">
      <c r="D167" s="45" t="s">
        <v>200</v>
      </c>
      <c r="E167" s="30"/>
      <c r="F167" s="43"/>
      <c r="G167" s="43"/>
      <c r="H167" s="36"/>
      <c r="I167" s="36"/>
      <c r="J167" s="36"/>
      <c r="O167" s="19"/>
      <c r="S167" s="115">
        <v>0.2</v>
      </c>
      <c r="T167" s="21">
        <v>0.25</v>
      </c>
      <c r="U167" s="21">
        <v>0.3</v>
      </c>
      <c r="V167" s="21">
        <v>0.38</v>
      </c>
      <c r="W167" s="21">
        <v>0.47</v>
      </c>
      <c r="X167" s="21">
        <v>0.57999999999999996</v>
      </c>
      <c r="Y167" s="21">
        <v>0.75</v>
      </c>
      <c r="Z167" s="21">
        <v>0.88</v>
      </c>
      <c r="AA167" s="21">
        <v>1</v>
      </c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  <c r="BH167" s="19"/>
      <c r="BI167" s="19"/>
      <c r="BJ167" s="19"/>
      <c r="BK167" s="19"/>
      <c r="BL167" s="19"/>
      <c r="BM167" s="19"/>
      <c r="BN167" s="19"/>
      <c r="BO167" s="19"/>
      <c r="BP167" s="19"/>
      <c r="BQ167" s="19"/>
      <c r="BR167" s="19"/>
      <c r="BS167" s="19"/>
      <c r="BT167" s="19"/>
      <c r="BU167" s="19"/>
      <c r="BV167" s="19"/>
      <c r="BW167" s="19"/>
      <c r="BX167" s="19"/>
      <c r="BY167" s="19"/>
      <c r="BZ167" s="19"/>
      <c r="CA167" s="19"/>
      <c r="CB167" s="19"/>
      <c r="CC167" s="19"/>
      <c r="CD167" s="19"/>
      <c r="CE167" s="19"/>
      <c r="CF167" s="19"/>
      <c r="CG167" s="19"/>
      <c r="CH167" s="19"/>
      <c r="CI167" s="19"/>
      <c r="CJ167" s="19"/>
      <c r="CK167" s="19"/>
      <c r="CL167" s="19"/>
      <c r="CM167" s="19"/>
      <c r="CN167" s="19"/>
      <c r="CO167" s="19"/>
      <c r="CP167" s="19"/>
      <c r="CQ167" s="19"/>
      <c r="CR167" s="19"/>
      <c r="CS167" s="19"/>
      <c r="CT167" s="19"/>
      <c r="CU167" s="19"/>
      <c r="CV167" s="19"/>
      <c r="CW167" s="19"/>
      <c r="CX167" s="19"/>
      <c r="CY167" s="19"/>
      <c r="CZ167" s="19"/>
      <c r="DA167" s="19"/>
      <c r="DB167" s="19"/>
      <c r="DC167" s="19"/>
      <c r="DD167" s="19"/>
      <c r="DE167" s="19"/>
      <c r="DF167" s="19"/>
      <c r="DG167" s="19"/>
      <c r="DH167" s="19"/>
      <c r="DI167" s="19"/>
      <c r="DJ167" s="19"/>
      <c r="DK167" s="19"/>
      <c r="DL167" s="19"/>
      <c r="DM167" s="19"/>
      <c r="DN167" s="19"/>
      <c r="DO167" s="19"/>
      <c r="DP167" s="19"/>
      <c r="DQ167" s="19"/>
      <c r="DR167" s="19"/>
      <c r="DS167" s="19"/>
      <c r="DT167" s="19"/>
      <c r="DU167" s="19"/>
      <c r="DV167" s="19"/>
      <c r="DW167" s="19"/>
      <c r="DX167" s="19"/>
      <c r="DY167" s="19"/>
      <c r="DZ167" s="19"/>
      <c r="EA167" s="19"/>
      <c r="EB167" s="19"/>
      <c r="EC167" s="19"/>
      <c r="ED167" s="19"/>
      <c r="EE167" s="19"/>
      <c r="EF167" s="19"/>
      <c r="EG167" s="19"/>
      <c r="EH167" s="19"/>
      <c r="EI167" s="19"/>
      <c r="EJ167" s="19"/>
      <c r="EK167" s="19"/>
      <c r="EL167" s="19"/>
      <c r="EM167" s="19"/>
      <c r="EN167" s="19"/>
      <c r="EO167" s="19"/>
      <c r="EP167" s="19"/>
      <c r="EQ167" s="19"/>
      <c r="ER167" s="19"/>
      <c r="ES167" s="19"/>
      <c r="ET167" s="19"/>
      <c r="EU167" s="19"/>
      <c r="EV167" s="19"/>
      <c r="EW167" s="19"/>
      <c r="EX167" s="19"/>
      <c r="EY167" s="19"/>
      <c r="EZ167" s="19"/>
      <c r="FA167" s="19"/>
      <c r="FB167" s="19"/>
      <c r="FC167" s="19"/>
      <c r="FD167" s="19"/>
      <c r="FE167" s="19"/>
      <c r="FF167" s="19"/>
      <c r="FG167" s="19"/>
      <c r="FH167" s="19"/>
      <c r="FI167" s="19"/>
      <c r="FJ167" s="19"/>
      <c r="FK167" s="19"/>
      <c r="FL167" s="19"/>
      <c r="FM167" s="19"/>
      <c r="FN167" s="19"/>
      <c r="FO167" s="19"/>
      <c r="FP167" s="19"/>
      <c r="FQ167" s="19"/>
      <c r="FR167" s="19"/>
      <c r="FS167" s="19"/>
      <c r="FT167" s="19"/>
      <c r="FU167" s="19"/>
      <c r="FV167" s="19"/>
      <c r="FW167" s="19"/>
      <c r="FX167" s="19"/>
      <c r="FY167" s="19"/>
      <c r="FZ167" s="19"/>
      <c r="GA167" s="19"/>
      <c r="GB167" s="19"/>
      <c r="GC167" s="19"/>
      <c r="GD167" s="19"/>
      <c r="GE167" s="19"/>
      <c r="GF167" s="19"/>
      <c r="GG167" s="19"/>
      <c r="GH167" s="19"/>
      <c r="GI167" s="19"/>
      <c r="GJ167" s="19"/>
      <c r="GK167" s="19"/>
      <c r="GL167" s="19"/>
      <c r="GM167" s="19"/>
      <c r="GN167" s="19"/>
      <c r="GO167" s="19"/>
      <c r="GP167" s="19"/>
      <c r="GQ167" s="19"/>
      <c r="GR167" s="19"/>
      <c r="GS167" s="19"/>
      <c r="GT167" s="19"/>
      <c r="GU167" s="19"/>
      <c r="GV167" s="19"/>
      <c r="GW167" s="19"/>
      <c r="GX167" s="19"/>
      <c r="GY167" s="19"/>
      <c r="GZ167" s="19"/>
      <c r="HA167" s="19"/>
      <c r="HB167" s="19"/>
      <c r="HC167" s="19"/>
      <c r="HD167" s="19"/>
      <c r="HE167" s="19"/>
      <c r="HF167" s="19"/>
      <c r="HG167" s="19"/>
      <c r="HH167" s="19"/>
      <c r="HI167" s="19"/>
      <c r="HJ167" s="19"/>
      <c r="HK167" s="19"/>
      <c r="HL167" s="19"/>
      <c r="HM167" s="19"/>
      <c r="HN167" s="19"/>
      <c r="HO167" s="19"/>
      <c r="HP167" s="19"/>
      <c r="HQ167" s="19"/>
      <c r="HR167" s="19"/>
      <c r="HS167" s="19"/>
      <c r="HT167" s="19"/>
      <c r="HU167" s="19"/>
      <c r="HV167" s="19"/>
      <c r="HW167" s="19"/>
      <c r="HX167" s="19"/>
      <c r="HY167" s="19"/>
      <c r="HZ167" s="19"/>
      <c r="IA167" s="19"/>
      <c r="IB167" s="19"/>
      <c r="IC167" s="19"/>
      <c r="ID167" s="19"/>
      <c r="IE167" s="19"/>
      <c r="IF167" s="19"/>
    </row>
    <row r="168" spans="1:240">
      <c r="D168" s="45" t="s">
        <v>201</v>
      </c>
      <c r="E168" s="30"/>
      <c r="F168" s="43"/>
      <c r="G168" s="43"/>
      <c r="H168" s="36"/>
      <c r="I168" s="36"/>
      <c r="J168" s="36"/>
      <c r="O168" s="19"/>
      <c r="S168" s="115">
        <v>0.4</v>
      </c>
      <c r="T168" s="21">
        <v>0.45</v>
      </c>
      <c r="U168" s="21">
        <v>0.5</v>
      </c>
      <c r="V168" s="21">
        <v>0.56000000000000005</v>
      </c>
      <c r="W168" s="21">
        <v>0.64</v>
      </c>
      <c r="X168" s="21">
        <v>0.75</v>
      </c>
      <c r="Y168" s="21">
        <v>0.85</v>
      </c>
      <c r="Z168" s="21">
        <v>0.93</v>
      </c>
      <c r="AA168" s="21">
        <v>1</v>
      </c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  <c r="BP168" s="19"/>
      <c r="BQ168" s="19"/>
      <c r="BR168" s="19"/>
      <c r="BS168" s="19"/>
      <c r="BT168" s="19"/>
      <c r="BU168" s="19"/>
      <c r="BV168" s="19"/>
      <c r="BW168" s="19"/>
      <c r="BX168" s="19"/>
      <c r="BY168" s="19"/>
      <c r="BZ168" s="19"/>
      <c r="CA168" s="19"/>
      <c r="CB168" s="19"/>
      <c r="CC168" s="19"/>
      <c r="CD168" s="19"/>
      <c r="CE168" s="19"/>
      <c r="CF168" s="19"/>
      <c r="CG168" s="19"/>
      <c r="CH168" s="19"/>
      <c r="CI168" s="19"/>
      <c r="CJ168" s="19"/>
      <c r="CK168" s="19"/>
      <c r="CL168" s="19"/>
      <c r="CM168" s="19"/>
      <c r="CN168" s="19"/>
      <c r="CO168" s="19"/>
      <c r="CP168" s="19"/>
      <c r="CQ168" s="19"/>
      <c r="CR168" s="19"/>
      <c r="CS168" s="19"/>
      <c r="CT168" s="19"/>
      <c r="CU168" s="19"/>
      <c r="CV168" s="19"/>
      <c r="CW168" s="19"/>
      <c r="CX168" s="19"/>
      <c r="CY168" s="19"/>
      <c r="CZ168" s="19"/>
      <c r="DA168" s="19"/>
      <c r="DB168" s="19"/>
      <c r="DC168" s="19"/>
      <c r="DD168" s="19"/>
      <c r="DE168" s="19"/>
      <c r="DF168" s="19"/>
      <c r="DG168" s="19"/>
      <c r="DH168" s="19"/>
      <c r="DI168" s="19"/>
      <c r="DJ168" s="19"/>
      <c r="DK168" s="19"/>
      <c r="DL168" s="19"/>
      <c r="DM168" s="19"/>
      <c r="DN168" s="19"/>
      <c r="DO168" s="19"/>
      <c r="DP168" s="19"/>
      <c r="DQ168" s="19"/>
      <c r="DR168" s="19"/>
      <c r="DS168" s="19"/>
      <c r="DT168" s="19"/>
      <c r="DU168" s="19"/>
      <c r="DV168" s="19"/>
      <c r="DW168" s="19"/>
      <c r="DX168" s="19"/>
      <c r="DY168" s="19"/>
      <c r="DZ168" s="19"/>
      <c r="EA168" s="19"/>
      <c r="EB168" s="19"/>
      <c r="EC168" s="19"/>
      <c r="ED168" s="19"/>
      <c r="EE168" s="19"/>
      <c r="EF168" s="19"/>
      <c r="EG168" s="19"/>
      <c r="EH168" s="19"/>
      <c r="EI168" s="19"/>
      <c r="EJ168" s="19"/>
      <c r="EK168" s="19"/>
      <c r="EL168" s="19"/>
      <c r="EM168" s="19"/>
      <c r="EN168" s="19"/>
      <c r="EO168" s="19"/>
      <c r="EP168" s="19"/>
      <c r="EQ168" s="19"/>
      <c r="ER168" s="19"/>
      <c r="ES168" s="19"/>
      <c r="ET168" s="19"/>
      <c r="EU168" s="19"/>
      <c r="EV168" s="19"/>
      <c r="EW168" s="19"/>
      <c r="EX168" s="19"/>
      <c r="EY168" s="19"/>
      <c r="EZ168" s="19"/>
      <c r="FA168" s="19"/>
      <c r="FB168" s="19"/>
      <c r="FC168" s="19"/>
      <c r="FD168" s="19"/>
      <c r="FE168" s="19"/>
      <c r="FF168" s="19"/>
      <c r="FG168" s="19"/>
      <c r="FH168" s="19"/>
      <c r="FI168" s="19"/>
      <c r="FJ168" s="19"/>
      <c r="FK168" s="19"/>
      <c r="FL168" s="19"/>
      <c r="FM168" s="19"/>
      <c r="FN168" s="19"/>
      <c r="FO168" s="19"/>
      <c r="FP168" s="19"/>
      <c r="FQ168" s="19"/>
      <c r="FR168" s="19"/>
      <c r="FS168" s="19"/>
      <c r="FT168" s="19"/>
      <c r="FU168" s="19"/>
      <c r="FV168" s="19"/>
      <c r="FW168" s="19"/>
      <c r="FX168" s="19"/>
      <c r="FY168" s="19"/>
      <c r="FZ168" s="19"/>
      <c r="GA168" s="19"/>
      <c r="GB168" s="19"/>
      <c r="GC168" s="19"/>
      <c r="GD168" s="19"/>
      <c r="GE168" s="19"/>
      <c r="GF168" s="19"/>
      <c r="GG168" s="19"/>
      <c r="GH168" s="19"/>
      <c r="GI168" s="19"/>
      <c r="GJ168" s="19"/>
      <c r="GK168" s="19"/>
      <c r="GL168" s="19"/>
      <c r="GM168" s="19"/>
      <c r="GN168" s="19"/>
      <c r="GO168" s="19"/>
      <c r="GP168" s="19"/>
      <c r="GQ168" s="19"/>
      <c r="GR168" s="19"/>
      <c r="GS168" s="19"/>
      <c r="GT168" s="19"/>
      <c r="GU168" s="19"/>
      <c r="GV168" s="19"/>
      <c r="GW168" s="19"/>
      <c r="GX168" s="19"/>
      <c r="GY168" s="19"/>
      <c r="GZ168" s="19"/>
      <c r="HA168" s="19"/>
      <c r="HB168" s="19"/>
      <c r="HC168" s="19"/>
      <c r="HD168" s="19"/>
      <c r="HE168" s="19"/>
      <c r="HF168" s="19"/>
      <c r="HG168" s="19"/>
      <c r="HH168" s="19"/>
      <c r="HI168" s="19"/>
      <c r="HJ168" s="19"/>
      <c r="HK168" s="19"/>
      <c r="HL168" s="19"/>
      <c r="HM168" s="19"/>
      <c r="HN168" s="19"/>
      <c r="HO168" s="19"/>
      <c r="HP168" s="19"/>
      <c r="HQ168" s="19"/>
      <c r="HR168" s="19"/>
      <c r="HS168" s="19"/>
      <c r="HT168" s="19"/>
      <c r="HU168" s="19"/>
      <c r="HV168" s="19"/>
      <c r="HW168" s="19"/>
      <c r="HX168" s="19"/>
      <c r="HY168" s="19"/>
      <c r="HZ168" s="19"/>
      <c r="IA168" s="19"/>
      <c r="IB168" s="19"/>
      <c r="IC168" s="19"/>
      <c r="ID168" s="19"/>
      <c r="IE168" s="19"/>
      <c r="IF168" s="19"/>
    </row>
    <row r="169" spans="1:240" ht="7.5" customHeight="1">
      <c r="D169" s="45"/>
      <c r="E169" s="30"/>
      <c r="F169" s="43"/>
      <c r="G169" s="43"/>
      <c r="H169" s="36"/>
      <c r="I169" s="36"/>
      <c r="J169" s="36"/>
      <c r="O169" s="19"/>
      <c r="S169" s="115">
        <v>0.6</v>
      </c>
      <c r="T169" s="21">
        <v>0.65</v>
      </c>
      <c r="U169" s="21">
        <v>0.7</v>
      </c>
      <c r="V169" s="21">
        <v>0.75</v>
      </c>
      <c r="W169" s="21">
        <v>0.81</v>
      </c>
      <c r="X169" s="21">
        <v>0.87</v>
      </c>
      <c r="Y169" s="21">
        <v>0.94</v>
      </c>
      <c r="Z169" s="21">
        <v>0.98</v>
      </c>
      <c r="AA169" s="21">
        <v>1</v>
      </c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  <c r="BP169" s="19"/>
      <c r="BQ169" s="19"/>
      <c r="BR169" s="19"/>
      <c r="BS169" s="19"/>
      <c r="BT169" s="19"/>
      <c r="BU169" s="19"/>
      <c r="BV169" s="19"/>
      <c r="BW169" s="19"/>
      <c r="BX169" s="19"/>
      <c r="BY169" s="19"/>
      <c r="BZ169" s="19"/>
      <c r="CA169" s="19"/>
      <c r="CB169" s="19"/>
      <c r="CC169" s="19"/>
      <c r="CD169" s="19"/>
      <c r="CE169" s="19"/>
      <c r="CF169" s="19"/>
      <c r="CG169" s="19"/>
      <c r="CH169" s="19"/>
      <c r="CI169" s="19"/>
      <c r="CJ169" s="19"/>
      <c r="CK169" s="19"/>
      <c r="CL169" s="19"/>
      <c r="CM169" s="19"/>
      <c r="CN169" s="19"/>
      <c r="CO169" s="19"/>
      <c r="CP169" s="19"/>
      <c r="CQ169" s="19"/>
      <c r="CR169" s="19"/>
      <c r="CS169" s="19"/>
      <c r="CT169" s="19"/>
      <c r="CU169" s="19"/>
      <c r="CV169" s="19"/>
      <c r="CW169" s="19"/>
      <c r="CX169" s="19"/>
      <c r="CY169" s="19"/>
      <c r="CZ169" s="19"/>
      <c r="DA169" s="19"/>
      <c r="DB169" s="19"/>
      <c r="DC169" s="19"/>
      <c r="DD169" s="19"/>
      <c r="DE169" s="19"/>
      <c r="DF169" s="19"/>
      <c r="DG169" s="19"/>
      <c r="DH169" s="19"/>
      <c r="DI169" s="19"/>
      <c r="DJ169" s="19"/>
      <c r="DK169" s="19"/>
      <c r="DL169" s="19"/>
      <c r="DM169" s="19"/>
      <c r="DN169" s="19"/>
      <c r="DO169" s="19"/>
      <c r="DP169" s="19"/>
      <c r="DQ169" s="19"/>
      <c r="DR169" s="19"/>
      <c r="DS169" s="19"/>
      <c r="DT169" s="19"/>
      <c r="DU169" s="19"/>
      <c r="DV169" s="19"/>
      <c r="DW169" s="19"/>
      <c r="DX169" s="19"/>
      <c r="DY169" s="19"/>
      <c r="DZ169" s="19"/>
      <c r="EA169" s="19"/>
      <c r="EB169" s="19"/>
      <c r="EC169" s="19"/>
      <c r="ED169" s="19"/>
      <c r="EE169" s="19"/>
      <c r="EF169" s="19"/>
      <c r="EG169" s="19"/>
      <c r="EH169" s="19"/>
      <c r="EI169" s="19"/>
      <c r="EJ169" s="19"/>
      <c r="EK169" s="19"/>
      <c r="EL169" s="19"/>
      <c r="EM169" s="19"/>
      <c r="EN169" s="19"/>
      <c r="EO169" s="19"/>
      <c r="EP169" s="19"/>
      <c r="EQ169" s="19"/>
      <c r="ER169" s="19"/>
      <c r="ES169" s="19"/>
      <c r="ET169" s="19"/>
      <c r="EU169" s="19"/>
      <c r="EV169" s="19"/>
      <c r="EW169" s="19"/>
      <c r="EX169" s="19"/>
      <c r="EY169" s="19"/>
      <c r="EZ169" s="19"/>
      <c r="FA169" s="19"/>
      <c r="FB169" s="19"/>
      <c r="FC169" s="19"/>
      <c r="FD169" s="19"/>
      <c r="FE169" s="19"/>
      <c r="FF169" s="19"/>
      <c r="FG169" s="19"/>
      <c r="FH169" s="19"/>
      <c r="FI169" s="19"/>
      <c r="FJ169" s="19"/>
      <c r="FK169" s="19"/>
      <c r="FL169" s="19"/>
      <c r="FM169" s="19"/>
      <c r="FN169" s="19"/>
      <c r="FO169" s="19"/>
      <c r="FP169" s="19"/>
      <c r="FQ169" s="19"/>
      <c r="FR169" s="19"/>
      <c r="FS169" s="19"/>
      <c r="FT169" s="19"/>
      <c r="FU169" s="19"/>
      <c r="FV169" s="19"/>
      <c r="FW169" s="19"/>
      <c r="FX169" s="19"/>
      <c r="FY169" s="19"/>
      <c r="FZ169" s="19"/>
      <c r="GA169" s="19"/>
      <c r="GB169" s="19"/>
      <c r="GC169" s="19"/>
      <c r="GD169" s="19"/>
      <c r="GE169" s="19"/>
      <c r="GF169" s="19"/>
      <c r="GG169" s="19"/>
      <c r="GH169" s="19"/>
      <c r="GI169" s="19"/>
      <c r="GJ169" s="19"/>
      <c r="GK169" s="19"/>
      <c r="GL169" s="19"/>
      <c r="GM169" s="19"/>
      <c r="GN169" s="19"/>
      <c r="GO169" s="19"/>
      <c r="GP169" s="19"/>
      <c r="GQ169" s="19"/>
      <c r="GR169" s="19"/>
      <c r="GS169" s="19"/>
      <c r="GT169" s="19"/>
      <c r="GU169" s="19"/>
      <c r="GV169" s="19"/>
      <c r="GW169" s="19"/>
      <c r="GX169" s="19"/>
      <c r="GY169" s="19"/>
      <c r="GZ169" s="19"/>
      <c r="HA169" s="19"/>
      <c r="HB169" s="19"/>
      <c r="HC169" s="19"/>
      <c r="HD169" s="19"/>
      <c r="HE169" s="19"/>
      <c r="HF169" s="19"/>
      <c r="HG169" s="19"/>
      <c r="HH169" s="19"/>
      <c r="HI169" s="19"/>
      <c r="HJ169" s="19"/>
      <c r="HK169" s="19"/>
      <c r="HL169" s="19"/>
      <c r="HM169" s="19"/>
      <c r="HN169" s="19"/>
      <c r="HO169" s="19"/>
      <c r="HP169" s="19"/>
      <c r="HQ169" s="19"/>
      <c r="HR169" s="19"/>
      <c r="HS169" s="19"/>
      <c r="HT169" s="19"/>
      <c r="HU169" s="19"/>
      <c r="HV169" s="19"/>
      <c r="HW169" s="19"/>
      <c r="HX169" s="19"/>
      <c r="HY169" s="19"/>
      <c r="HZ169" s="19"/>
      <c r="IA169" s="19"/>
      <c r="IB169" s="19"/>
      <c r="IC169" s="19"/>
      <c r="ID169" s="19"/>
      <c r="IE169" s="19"/>
      <c r="IF169" s="19"/>
    </row>
    <row r="170" spans="1:240">
      <c r="D170" s="37"/>
      <c r="E170" s="30"/>
      <c r="F170" s="43"/>
      <c r="G170" s="43"/>
      <c r="H170" s="36"/>
      <c r="I170" s="36"/>
      <c r="J170" s="36"/>
      <c r="O170" s="125" t="s">
        <v>198</v>
      </c>
      <c r="P170" s="125" t="s">
        <v>46</v>
      </c>
      <c r="Q170" s="125" t="s">
        <v>197</v>
      </c>
      <c r="S170" s="115">
        <v>0.8</v>
      </c>
      <c r="T170" s="21">
        <v>0.84</v>
      </c>
      <c r="U170" s="21">
        <v>0.87</v>
      </c>
      <c r="V170" s="21">
        <v>0.9</v>
      </c>
      <c r="W170" s="21">
        <v>0.93</v>
      </c>
      <c r="X170" s="21">
        <v>0.96</v>
      </c>
      <c r="Y170" s="21">
        <v>0.98</v>
      </c>
      <c r="Z170" s="21">
        <v>1</v>
      </c>
      <c r="AA170" s="21">
        <v>1</v>
      </c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  <c r="BP170" s="19"/>
      <c r="BQ170" s="19"/>
      <c r="BR170" s="19"/>
      <c r="BS170" s="19"/>
      <c r="BT170" s="19"/>
      <c r="BU170" s="19"/>
      <c r="BV170" s="19"/>
      <c r="BW170" s="19"/>
      <c r="BX170" s="19"/>
      <c r="BY170" s="19"/>
      <c r="BZ170" s="19"/>
      <c r="CA170" s="19"/>
      <c r="CB170" s="19"/>
      <c r="CC170" s="19"/>
      <c r="CD170" s="19"/>
      <c r="CE170" s="19"/>
      <c r="CF170" s="19"/>
      <c r="CG170" s="19"/>
      <c r="CH170" s="19"/>
      <c r="CI170" s="19"/>
      <c r="CJ170" s="19"/>
      <c r="CK170" s="19"/>
      <c r="CL170" s="19"/>
      <c r="CM170" s="19"/>
      <c r="CN170" s="19"/>
      <c r="CO170" s="19"/>
      <c r="CP170" s="19"/>
      <c r="CQ170" s="19"/>
      <c r="CR170" s="19"/>
      <c r="CS170" s="19"/>
      <c r="CT170" s="19"/>
      <c r="CU170" s="19"/>
      <c r="CV170" s="19"/>
      <c r="CW170" s="19"/>
      <c r="CX170" s="19"/>
      <c r="CY170" s="19"/>
      <c r="CZ170" s="19"/>
      <c r="DA170" s="19"/>
      <c r="DB170" s="19"/>
      <c r="DC170" s="19"/>
      <c r="DD170" s="19"/>
      <c r="DE170" s="19"/>
      <c r="DF170" s="19"/>
      <c r="DG170" s="19"/>
      <c r="DH170" s="19"/>
      <c r="DI170" s="19"/>
      <c r="DJ170" s="19"/>
      <c r="DK170" s="19"/>
      <c r="DL170" s="19"/>
      <c r="DM170" s="19"/>
      <c r="DN170" s="19"/>
      <c r="DO170" s="19"/>
      <c r="DP170" s="19"/>
      <c r="DQ170" s="19"/>
      <c r="DR170" s="19"/>
      <c r="DS170" s="19"/>
      <c r="DT170" s="19"/>
      <c r="DU170" s="19"/>
      <c r="DV170" s="19"/>
      <c r="DW170" s="19"/>
      <c r="DX170" s="19"/>
      <c r="DY170" s="19"/>
      <c r="DZ170" s="19"/>
      <c r="EA170" s="19"/>
      <c r="EB170" s="19"/>
      <c r="EC170" s="19"/>
      <c r="ED170" s="19"/>
      <c r="EE170" s="19"/>
      <c r="EF170" s="19"/>
      <c r="EG170" s="19"/>
      <c r="EH170" s="19"/>
      <c r="EI170" s="19"/>
      <c r="EJ170" s="19"/>
      <c r="EK170" s="19"/>
      <c r="EL170" s="19"/>
      <c r="EM170" s="19"/>
      <c r="EN170" s="19"/>
      <c r="EO170" s="19"/>
      <c r="EP170" s="19"/>
      <c r="EQ170" s="19"/>
      <c r="ER170" s="19"/>
      <c r="ES170" s="19"/>
      <c r="ET170" s="19"/>
      <c r="EU170" s="19"/>
      <c r="EV170" s="19"/>
      <c r="EW170" s="19"/>
      <c r="EX170" s="19"/>
      <c r="EY170" s="19"/>
      <c r="EZ170" s="19"/>
      <c r="FA170" s="19"/>
      <c r="FB170" s="19"/>
      <c r="FC170" s="19"/>
      <c r="FD170" s="19"/>
      <c r="FE170" s="19"/>
      <c r="FF170" s="19"/>
      <c r="FG170" s="19"/>
      <c r="FH170" s="19"/>
      <c r="FI170" s="19"/>
      <c r="FJ170" s="19"/>
      <c r="FK170" s="19"/>
      <c r="FL170" s="19"/>
      <c r="FM170" s="19"/>
      <c r="FN170" s="19"/>
      <c r="FO170" s="19"/>
      <c r="FP170" s="19"/>
      <c r="FQ170" s="19"/>
      <c r="FR170" s="19"/>
      <c r="FS170" s="19"/>
      <c r="FT170" s="19"/>
      <c r="FU170" s="19"/>
      <c r="FV170" s="19"/>
      <c r="FW170" s="19"/>
      <c r="FX170" s="19"/>
      <c r="FY170" s="19"/>
      <c r="FZ170" s="19"/>
      <c r="GA170" s="19"/>
      <c r="GB170" s="19"/>
      <c r="GC170" s="19"/>
      <c r="GD170" s="19"/>
      <c r="GE170" s="19"/>
      <c r="GF170" s="19"/>
      <c r="GG170" s="19"/>
      <c r="GH170" s="19"/>
      <c r="GI170" s="19"/>
      <c r="GJ170" s="19"/>
      <c r="GK170" s="19"/>
      <c r="GL170" s="19"/>
      <c r="GM170" s="19"/>
      <c r="GN170" s="19"/>
      <c r="GO170" s="19"/>
      <c r="GP170" s="19"/>
      <c r="GQ170" s="19"/>
      <c r="GR170" s="19"/>
      <c r="GS170" s="19"/>
      <c r="GT170" s="19"/>
      <c r="GU170" s="19"/>
      <c r="GV170" s="19"/>
      <c r="GW170" s="19"/>
      <c r="GX170" s="19"/>
      <c r="GY170" s="19"/>
      <c r="GZ170" s="19"/>
      <c r="HA170" s="19"/>
      <c r="HB170" s="19"/>
      <c r="HC170" s="19"/>
      <c r="HD170" s="19"/>
      <c r="HE170" s="19"/>
      <c r="HF170" s="19"/>
      <c r="HG170" s="19"/>
      <c r="HH170" s="19"/>
      <c r="HI170" s="19"/>
      <c r="HJ170" s="19"/>
      <c r="HK170" s="19"/>
      <c r="HL170" s="19"/>
      <c r="HM170" s="19"/>
      <c r="HN170" s="19"/>
      <c r="HO170" s="19"/>
      <c r="HP170" s="19"/>
      <c r="HQ170" s="19"/>
      <c r="HR170" s="19"/>
      <c r="HS170" s="19"/>
      <c r="HT170" s="19"/>
      <c r="HU170" s="19"/>
      <c r="HV170" s="19"/>
      <c r="HW170" s="19"/>
      <c r="HX170" s="19"/>
      <c r="HY170" s="19"/>
      <c r="HZ170" s="19"/>
      <c r="IA170" s="19"/>
      <c r="IB170" s="19"/>
      <c r="IC170" s="19"/>
      <c r="ID170" s="19"/>
      <c r="IE170" s="19"/>
      <c r="IF170" s="19"/>
    </row>
    <row r="171" spans="1:240">
      <c r="A171" s="17" t="s">
        <v>41</v>
      </c>
      <c r="I171" s="36"/>
      <c r="J171" s="36"/>
      <c r="O171" s="127">
        <v>1</v>
      </c>
      <c r="P171" s="127">
        <v>0.105</v>
      </c>
      <c r="Q171" s="127">
        <v>14000</v>
      </c>
      <c r="S171" s="115">
        <v>1</v>
      </c>
      <c r="T171" s="21">
        <v>1</v>
      </c>
      <c r="U171" s="21">
        <v>1</v>
      </c>
      <c r="V171" s="21">
        <v>1</v>
      </c>
      <c r="W171" s="21">
        <v>1</v>
      </c>
      <c r="X171" s="21">
        <v>1</v>
      </c>
      <c r="Y171" s="21">
        <v>1</v>
      </c>
      <c r="Z171" s="21">
        <v>1</v>
      </c>
      <c r="AA171" s="21">
        <v>1</v>
      </c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9"/>
      <c r="BP171" s="19"/>
      <c r="BQ171" s="19"/>
      <c r="BR171" s="19"/>
      <c r="BS171" s="19"/>
      <c r="BT171" s="19"/>
      <c r="BU171" s="19"/>
      <c r="BV171" s="19"/>
      <c r="BW171" s="19"/>
      <c r="BX171" s="19"/>
      <c r="BY171" s="19"/>
      <c r="BZ171" s="19"/>
      <c r="CA171" s="19"/>
      <c r="CB171" s="19"/>
      <c r="CC171" s="19"/>
      <c r="CD171" s="19"/>
      <c r="CE171" s="19"/>
      <c r="CF171" s="19"/>
      <c r="CG171" s="19"/>
      <c r="CH171" s="19"/>
      <c r="CI171" s="19"/>
      <c r="CJ171" s="19"/>
      <c r="CK171" s="19"/>
      <c r="CL171" s="19"/>
      <c r="CM171" s="19"/>
      <c r="CN171" s="19"/>
      <c r="CO171" s="19"/>
      <c r="CP171" s="19"/>
      <c r="CQ171" s="19"/>
      <c r="CR171" s="19"/>
      <c r="CS171" s="19"/>
      <c r="CT171" s="19"/>
      <c r="CU171" s="19"/>
      <c r="CV171" s="19"/>
      <c r="CW171" s="19"/>
      <c r="CX171" s="19"/>
      <c r="CY171" s="19"/>
      <c r="CZ171" s="19"/>
      <c r="DA171" s="19"/>
      <c r="DB171" s="19"/>
      <c r="DC171" s="19"/>
      <c r="DD171" s="19"/>
      <c r="DE171" s="19"/>
      <c r="DF171" s="19"/>
      <c r="DG171" s="19"/>
      <c r="DH171" s="19"/>
      <c r="DI171" s="19"/>
      <c r="DJ171" s="19"/>
      <c r="DK171" s="19"/>
      <c r="DL171" s="19"/>
      <c r="DM171" s="19"/>
      <c r="DN171" s="19"/>
      <c r="DO171" s="19"/>
      <c r="DP171" s="19"/>
      <c r="DQ171" s="19"/>
      <c r="DR171" s="19"/>
      <c r="DS171" s="19"/>
      <c r="DT171" s="19"/>
      <c r="DU171" s="19"/>
      <c r="DV171" s="19"/>
      <c r="DW171" s="19"/>
      <c r="DX171" s="19"/>
      <c r="DY171" s="19"/>
      <c r="DZ171" s="19"/>
      <c r="EA171" s="19"/>
      <c r="EB171" s="19"/>
      <c r="EC171" s="19"/>
      <c r="ED171" s="19"/>
      <c r="EE171" s="19"/>
      <c r="EF171" s="19"/>
      <c r="EG171" s="19"/>
      <c r="EH171" s="19"/>
      <c r="EI171" s="19"/>
      <c r="EJ171" s="19"/>
      <c r="EK171" s="19"/>
      <c r="EL171" s="19"/>
      <c r="EM171" s="19"/>
      <c r="EN171" s="19"/>
      <c r="EO171" s="19"/>
      <c r="EP171" s="19"/>
      <c r="EQ171" s="19"/>
      <c r="ER171" s="19"/>
      <c r="ES171" s="19"/>
      <c r="ET171" s="19"/>
      <c r="EU171" s="19"/>
      <c r="EV171" s="19"/>
      <c r="EW171" s="19"/>
      <c r="EX171" s="19"/>
      <c r="EY171" s="19"/>
      <c r="EZ171" s="19"/>
      <c r="FA171" s="19"/>
      <c r="FB171" s="19"/>
      <c r="FC171" s="19"/>
      <c r="FD171" s="19"/>
      <c r="FE171" s="19"/>
      <c r="FF171" s="19"/>
      <c r="FG171" s="19"/>
      <c r="FH171" s="19"/>
      <c r="FI171" s="19"/>
      <c r="FJ171" s="19"/>
      <c r="FK171" s="19"/>
      <c r="FL171" s="19"/>
      <c r="FM171" s="19"/>
      <c r="FN171" s="19"/>
      <c r="FO171" s="19"/>
      <c r="FP171" s="19"/>
      <c r="FQ171" s="19"/>
      <c r="FR171" s="19"/>
      <c r="FS171" s="19"/>
      <c r="FT171" s="19"/>
      <c r="FU171" s="19"/>
      <c r="FV171" s="19"/>
      <c r="FW171" s="19"/>
      <c r="FX171" s="19"/>
      <c r="FY171" s="19"/>
      <c r="FZ171" s="19"/>
      <c r="GA171" s="19"/>
      <c r="GB171" s="19"/>
      <c r="GC171" s="19"/>
      <c r="GD171" s="19"/>
      <c r="GE171" s="19"/>
      <c r="GF171" s="19"/>
      <c r="GG171" s="19"/>
      <c r="GH171" s="19"/>
      <c r="GI171" s="19"/>
      <c r="GJ171" s="19"/>
      <c r="GK171" s="19"/>
      <c r="GL171" s="19"/>
      <c r="GM171" s="19"/>
      <c r="GN171" s="19"/>
      <c r="GO171" s="19"/>
      <c r="GP171" s="19"/>
      <c r="GQ171" s="19"/>
      <c r="GR171" s="19"/>
      <c r="GS171" s="19"/>
      <c r="GT171" s="19"/>
      <c r="GU171" s="19"/>
      <c r="GV171" s="19"/>
      <c r="GW171" s="19"/>
      <c r="GX171" s="19"/>
      <c r="GY171" s="19"/>
      <c r="GZ171" s="19"/>
      <c r="HA171" s="19"/>
      <c r="HB171" s="19"/>
      <c r="HC171" s="19"/>
      <c r="HD171" s="19"/>
      <c r="HE171" s="19"/>
      <c r="HF171" s="19"/>
      <c r="HG171" s="19"/>
      <c r="HH171" s="19"/>
      <c r="HI171" s="19"/>
      <c r="HJ171" s="19"/>
      <c r="HK171" s="19"/>
      <c r="HL171" s="19"/>
      <c r="HM171" s="19"/>
      <c r="HN171" s="19"/>
      <c r="HO171" s="19"/>
      <c r="HP171" s="19"/>
      <c r="HQ171" s="19"/>
      <c r="HR171" s="19"/>
      <c r="HS171" s="19"/>
      <c r="HT171" s="19"/>
      <c r="HU171" s="19"/>
      <c r="HV171" s="19"/>
      <c r="HW171" s="19"/>
      <c r="HX171" s="19"/>
      <c r="HY171" s="19"/>
      <c r="HZ171" s="19"/>
      <c r="IA171" s="19"/>
      <c r="IB171" s="19"/>
      <c r="IC171" s="19"/>
      <c r="ID171" s="19"/>
      <c r="IE171" s="19"/>
      <c r="IF171" s="19"/>
    </row>
    <row r="172" spans="1:240">
      <c r="C172" s="47"/>
      <c r="I172" s="36"/>
      <c r="J172" s="36"/>
      <c r="O172" s="117">
        <v>2</v>
      </c>
      <c r="P172" s="117">
        <v>0.1</v>
      </c>
      <c r="Q172" s="117">
        <v>11000</v>
      </c>
      <c r="S172" s="246">
        <v>1.5</v>
      </c>
      <c r="T172" s="245">
        <v>1.4</v>
      </c>
      <c r="U172" s="245">
        <v>1.3</v>
      </c>
      <c r="V172" s="245">
        <v>1.2</v>
      </c>
      <c r="W172" s="245">
        <v>1.1200000000000001</v>
      </c>
      <c r="X172" s="245">
        <v>1.06</v>
      </c>
      <c r="Y172" s="245">
        <v>1.03</v>
      </c>
      <c r="Z172" s="245">
        <v>1</v>
      </c>
      <c r="AA172" s="21">
        <v>1</v>
      </c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  <c r="BP172" s="19"/>
      <c r="BQ172" s="19"/>
      <c r="BR172" s="19"/>
      <c r="BS172" s="19"/>
      <c r="BT172" s="19"/>
      <c r="BU172" s="19"/>
      <c r="BV172" s="19"/>
      <c r="BW172" s="19"/>
      <c r="BX172" s="19"/>
      <c r="BY172" s="19"/>
      <c r="BZ172" s="19"/>
      <c r="CA172" s="19"/>
      <c r="CB172" s="19"/>
      <c r="CC172" s="19"/>
      <c r="CD172" s="19"/>
      <c r="CE172" s="19"/>
      <c r="CF172" s="19"/>
      <c r="CG172" s="19"/>
      <c r="CH172" s="19"/>
      <c r="CI172" s="19"/>
      <c r="CJ172" s="19"/>
      <c r="CK172" s="19"/>
      <c r="CL172" s="19"/>
      <c r="CM172" s="19"/>
      <c r="CN172" s="19"/>
      <c r="CO172" s="19"/>
      <c r="CP172" s="19"/>
      <c r="CQ172" s="19"/>
      <c r="CR172" s="19"/>
      <c r="CS172" s="19"/>
      <c r="CT172" s="19"/>
      <c r="CU172" s="19"/>
      <c r="CV172" s="19"/>
      <c r="CW172" s="19"/>
      <c r="CX172" s="19"/>
      <c r="CY172" s="19"/>
      <c r="CZ172" s="19"/>
      <c r="DA172" s="19"/>
      <c r="DB172" s="19"/>
      <c r="DC172" s="19"/>
      <c r="DD172" s="19"/>
      <c r="DE172" s="19"/>
      <c r="DF172" s="19"/>
      <c r="DG172" s="19"/>
      <c r="DH172" s="19"/>
      <c r="DI172" s="19"/>
      <c r="DJ172" s="19"/>
      <c r="DK172" s="19"/>
      <c r="DL172" s="19"/>
      <c r="DM172" s="19"/>
      <c r="DN172" s="19"/>
      <c r="DO172" s="19"/>
      <c r="DP172" s="19"/>
      <c r="DQ172" s="19"/>
      <c r="DR172" s="19"/>
      <c r="DS172" s="19"/>
      <c r="DT172" s="19"/>
      <c r="DU172" s="19"/>
      <c r="DV172" s="19"/>
      <c r="DW172" s="19"/>
      <c r="DX172" s="19"/>
      <c r="DY172" s="19"/>
      <c r="DZ172" s="19"/>
      <c r="EA172" s="19"/>
      <c r="EB172" s="19"/>
      <c r="EC172" s="19"/>
      <c r="ED172" s="19"/>
      <c r="EE172" s="19"/>
      <c r="EF172" s="19"/>
      <c r="EG172" s="19"/>
      <c r="EH172" s="19"/>
      <c r="EI172" s="19"/>
      <c r="EJ172" s="19"/>
      <c r="EK172" s="19"/>
      <c r="EL172" s="19"/>
      <c r="EM172" s="19"/>
      <c r="EN172" s="19"/>
      <c r="EO172" s="19"/>
      <c r="EP172" s="19"/>
      <c r="EQ172" s="19"/>
      <c r="ER172" s="19"/>
      <c r="ES172" s="19"/>
      <c r="ET172" s="19"/>
      <c r="EU172" s="19"/>
      <c r="EV172" s="19"/>
      <c r="EW172" s="19"/>
      <c r="EX172" s="19"/>
      <c r="EY172" s="19"/>
      <c r="EZ172" s="19"/>
      <c r="FA172" s="19"/>
      <c r="FB172" s="19"/>
      <c r="FC172" s="19"/>
      <c r="FD172" s="19"/>
      <c r="FE172" s="19"/>
      <c r="FF172" s="19"/>
      <c r="FG172" s="19"/>
      <c r="FH172" s="19"/>
      <c r="FI172" s="19"/>
      <c r="FJ172" s="19"/>
      <c r="FK172" s="19"/>
      <c r="FL172" s="19"/>
      <c r="FM172" s="19"/>
      <c r="FN172" s="19"/>
      <c r="FO172" s="19"/>
      <c r="FP172" s="19"/>
      <c r="FQ172" s="19"/>
      <c r="FR172" s="19"/>
      <c r="FS172" s="19"/>
      <c r="FT172" s="19"/>
      <c r="FU172" s="19"/>
      <c r="FV172" s="19"/>
      <c r="FW172" s="19"/>
      <c r="FX172" s="19"/>
      <c r="FY172" s="19"/>
      <c r="FZ172" s="19"/>
      <c r="GA172" s="19"/>
      <c r="GB172" s="19"/>
      <c r="GC172" s="19"/>
      <c r="GD172" s="19"/>
      <c r="GE172" s="19"/>
      <c r="GF172" s="19"/>
      <c r="GG172" s="19"/>
      <c r="GH172" s="19"/>
      <c r="GI172" s="19"/>
      <c r="GJ172" s="19"/>
      <c r="GK172" s="19"/>
      <c r="GL172" s="19"/>
      <c r="GM172" s="19"/>
      <c r="GN172" s="19"/>
      <c r="GO172" s="19"/>
      <c r="GP172" s="19"/>
      <c r="GQ172" s="19"/>
      <c r="GR172" s="19"/>
      <c r="GS172" s="19"/>
      <c r="GT172" s="19"/>
      <c r="GU172" s="19"/>
      <c r="GV172" s="19"/>
      <c r="GW172" s="19"/>
      <c r="GX172" s="19"/>
      <c r="GY172" s="19"/>
      <c r="GZ172" s="19"/>
      <c r="HA172" s="19"/>
      <c r="HB172" s="19"/>
      <c r="HC172" s="19"/>
      <c r="HD172" s="19"/>
      <c r="HE172" s="19"/>
      <c r="HF172" s="19"/>
      <c r="HG172" s="19"/>
      <c r="HH172" s="19"/>
      <c r="HI172" s="19"/>
      <c r="HJ172" s="19"/>
      <c r="HK172" s="19"/>
      <c r="HL172" s="19"/>
      <c r="HM172" s="19"/>
      <c r="HN172" s="19"/>
      <c r="HO172" s="19"/>
      <c r="HP172" s="19"/>
      <c r="HQ172" s="19"/>
      <c r="HR172" s="19"/>
      <c r="HS172" s="19"/>
      <c r="HT172" s="19"/>
      <c r="HU172" s="19"/>
      <c r="HV172" s="19"/>
      <c r="HW172" s="19"/>
      <c r="HX172" s="19"/>
      <c r="HY172" s="19"/>
      <c r="HZ172" s="19"/>
      <c r="IA172" s="19"/>
      <c r="IB172" s="19"/>
      <c r="IC172" s="19"/>
      <c r="ID172" s="19"/>
      <c r="IE172" s="19"/>
      <c r="IF172" s="19"/>
    </row>
    <row r="173" spans="1:240" ht="13.5">
      <c r="B173" s="48" t="s">
        <v>102</v>
      </c>
      <c r="C173" s="49"/>
      <c r="D173" s="41">
        <v>1.5</v>
      </c>
      <c r="E173" s="72"/>
      <c r="F173" s="72"/>
      <c r="G173" s="72"/>
      <c r="H173" s="72"/>
      <c r="I173" s="36"/>
      <c r="J173" s="36"/>
      <c r="K173" s="72"/>
      <c r="L173" s="72"/>
      <c r="O173" s="127">
        <v>3</v>
      </c>
      <c r="P173" s="127">
        <v>9.6000000000000002E-2</v>
      </c>
      <c r="Q173" s="127">
        <v>4000</v>
      </c>
      <c r="S173" s="246">
        <v>2</v>
      </c>
      <c r="T173" s="245">
        <v>1.7</v>
      </c>
      <c r="U173" s="239">
        <v>1.5</v>
      </c>
      <c r="V173" s="239">
        <v>1.4</v>
      </c>
      <c r="W173" s="245">
        <v>1.3</v>
      </c>
      <c r="X173" s="245">
        <v>1.2</v>
      </c>
      <c r="Y173" s="245">
        <v>1.1000000000000001</v>
      </c>
      <c r="Z173" s="245">
        <v>1.05</v>
      </c>
      <c r="AA173" s="21">
        <v>1</v>
      </c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  <c r="BP173" s="19"/>
      <c r="BQ173" s="19"/>
      <c r="BR173" s="19"/>
      <c r="BS173" s="19"/>
      <c r="BT173" s="19"/>
      <c r="BU173" s="19"/>
      <c r="BV173" s="19"/>
      <c r="BW173" s="19"/>
      <c r="BX173" s="19"/>
      <c r="BY173" s="19"/>
      <c r="BZ173" s="19"/>
      <c r="CA173" s="19"/>
      <c r="CB173" s="19"/>
      <c r="CC173" s="19"/>
      <c r="CD173" s="19"/>
      <c r="CE173" s="19"/>
      <c r="CF173" s="19"/>
      <c r="CG173" s="19"/>
      <c r="CH173" s="19"/>
      <c r="CI173" s="19"/>
      <c r="CJ173" s="19"/>
      <c r="CK173" s="19"/>
      <c r="CL173" s="19"/>
      <c r="CM173" s="19"/>
      <c r="CN173" s="19"/>
      <c r="CO173" s="19"/>
      <c r="CP173" s="19"/>
      <c r="CQ173" s="19"/>
      <c r="CR173" s="19"/>
      <c r="CS173" s="19"/>
      <c r="CT173" s="19"/>
      <c r="CU173" s="19"/>
      <c r="CV173" s="19"/>
      <c r="CW173" s="19"/>
      <c r="CX173" s="19"/>
      <c r="CY173" s="19"/>
      <c r="CZ173" s="19"/>
      <c r="DA173" s="19"/>
      <c r="DB173" s="19"/>
      <c r="DC173" s="19"/>
      <c r="DD173" s="19"/>
      <c r="DE173" s="19"/>
      <c r="DF173" s="19"/>
      <c r="DG173" s="19"/>
      <c r="DH173" s="19"/>
      <c r="DI173" s="19"/>
      <c r="DJ173" s="19"/>
      <c r="DK173" s="19"/>
      <c r="DL173" s="19"/>
      <c r="DM173" s="19"/>
      <c r="DN173" s="19"/>
      <c r="DO173" s="19"/>
      <c r="DP173" s="19"/>
      <c r="DQ173" s="19"/>
      <c r="DR173" s="19"/>
      <c r="DS173" s="19"/>
      <c r="DT173" s="19"/>
      <c r="DU173" s="19"/>
      <c r="DV173" s="19"/>
      <c r="DW173" s="19"/>
      <c r="DX173" s="19"/>
      <c r="DY173" s="19"/>
      <c r="DZ173" s="19"/>
      <c r="EA173" s="19"/>
      <c r="EB173" s="19"/>
      <c r="EC173" s="19"/>
      <c r="ED173" s="19"/>
      <c r="EE173" s="19"/>
      <c r="EF173" s="19"/>
      <c r="EG173" s="19"/>
      <c r="EH173" s="19"/>
      <c r="EI173" s="19"/>
      <c r="EJ173" s="19"/>
      <c r="EK173" s="19"/>
      <c r="EL173" s="19"/>
      <c r="EM173" s="19"/>
      <c r="EN173" s="19"/>
      <c r="EO173" s="19"/>
      <c r="EP173" s="19"/>
      <c r="EQ173" s="19"/>
      <c r="ER173" s="19"/>
      <c r="ES173" s="19"/>
      <c r="ET173" s="19"/>
      <c r="EU173" s="19"/>
      <c r="EV173" s="19"/>
      <c r="EW173" s="19"/>
      <c r="EX173" s="19"/>
      <c r="EY173" s="19"/>
      <c r="EZ173" s="19"/>
      <c r="FA173" s="19"/>
      <c r="FB173" s="19"/>
      <c r="FC173" s="19"/>
      <c r="FD173" s="19"/>
      <c r="FE173" s="19"/>
      <c r="FF173" s="19"/>
      <c r="FG173" s="19"/>
      <c r="FH173" s="19"/>
      <c r="FI173" s="19"/>
      <c r="FJ173" s="19"/>
      <c r="FK173" s="19"/>
      <c r="FL173" s="19"/>
      <c r="FM173" s="19"/>
      <c r="FN173" s="19"/>
      <c r="FO173" s="19"/>
      <c r="FP173" s="19"/>
      <c r="FQ173" s="19"/>
      <c r="FR173" s="19"/>
      <c r="FS173" s="19"/>
      <c r="FT173" s="19"/>
      <c r="FU173" s="19"/>
      <c r="FV173" s="19"/>
      <c r="FW173" s="19"/>
      <c r="FX173" s="19"/>
      <c r="FY173" s="19"/>
      <c r="FZ173" s="19"/>
      <c r="GA173" s="19"/>
      <c r="GB173" s="19"/>
      <c r="GC173" s="19"/>
      <c r="GD173" s="19"/>
      <c r="GE173" s="19"/>
      <c r="GF173" s="19"/>
      <c r="GG173" s="19"/>
      <c r="GH173" s="19"/>
      <c r="GI173" s="19"/>
      <c r="GJ173" s="19"/>
      <c r="GK173" s="19"/>
      <c r="GL173" s="19"/>
      <c r="GM173" s="19"/>
      <c r="GN173" s="19"/>
      <c r="GO173" s="19"/>
      <c r="GP173" s="19"/>
      <c r="GQ173" s="19"/>
      <c r="GR173" s="19"/>
      <c r="GS173" s="19"/>
      <c r="GT173" s="19"/>
      <c r="GU173" s="19"/>
      <c r="GV173" s="19"/>
      <c r="GW173" s="19"/>
      <c r="GX173" s="19"/>
      <c r="GY173" s="19"/>
      <c r="GZ173" s="19"/>
      <c r="HA173" s="19"/>
      <c r="HB173" s="19"/>
      <c r="HC173" s="19"/>
      <c r="HD173" s="19"/>
      <c r="HE173" s="19"/>
      <c r="HF173" s="19"/>
      <c r="HG173" s="19"/>
      <c r="HH173" s="19"/>
      <c r="HI173" s="19"/>
      <c r="HJ173" s="19"/>
      <c r="HK173" s="19"/>
      <c r="HL173" s="19"/>
      <c r="HM173" s="19"/>
      <c r="HN173" s="19"/>
      <c r="HO173" s="19"/>
      <c r="HP173" s="19"/>
      <c r="HQ173" s="19"/>
      <c r="HR173" s="19"/>
      <c r="HS173" s="19"/>
      <c r="HT173" s="19"/>
      <c r="HU173" s="19"/>
      <c r="HV173" s="19"/>
      <c r="HW173" s="19"/>
      <c r="HX173" s="19"/>
      <c r="HY173" s="19"/>
      <c r="HZ173" s="19"/>
      <c r="IA173" s="19"/>
      <c r="IB173" s="19"/>
      <c r="IC173" s="19"/>
      <c r="ID173" s="19"/>
      <c r="IE173" s="19"/>
      <c r="IF173" s="19"/>
    </row>
    <row r="174" spans="1:240" ht="13.5">
      <c r="B174" s="50" t="s">
        <v>104</v>
      </c>
      <c r="C174" s="51"/>
      <c r="D174" s="53">
        <f>0.149*57</f>
        <v>8.4930000000000003</v>
      </c>
      <c r="E174" s="123" t="s">
        <v>42</v>
      </c>
      <c r="F174" s="72"/>
      <c r="G174" s="72"/>
      <c r="H174" s="72"/>
      <c r="I174" s="36"/>
      <c r="J174" s="36"/>
      <c r="K174" s="72"/>
      <c r="L174" s="72"/>
      <c r="O174" s="127">
        <v>4</v>
      </c>
      <c r="P174" s="127">
        <v>0.1</v>
      </c>
      <c r="Q174" s="127">
        <v>16000</v>
      </c>
      <c r="S174" s="115">
        <v>3</v>
      </c>
      <c r="T174" s="21">
        <v>2.2000000000000002</v>
      </c>
      <c r="U174" s="239">
        <v>1.8</v>
      </c>
      <c r="V174" s="239">
        <v>1.65</v>
      </c>
      <c r="W174" s="21">
        <v>1.5</v>
      </c>
      <c r="X174" s="21">
        <v>1.35</v>
      </c>
      <c r="Y174" s="245">
        <v>1.2</v>
      </c>
      <c r="Z174" s="245">
        <v>1.1000000000000001</v>
      </c>
      <c r="AA174" s="21">
        <v>1</v>
      </c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  <c r="BP174" s="19"/>
      <c r="BQ174" s="19"/>
      <c r="BR174" s="19"/>
      <c r="BS174" s="19"/>
      <c r="BT174" s="19"/>
      <c r="BU174" s="19"/>
      <c r="BV174" s="19"/>
      <c r="BW174" s="19"/>
      <c r="BX174" s="19"/>
      <c r="BY174" s="19"/>
      <c r="BZ174" s="19"/>
      <c r="CA174" s="19"/>
      <c r="CB174" s="19"/>
      <c r="CC174" s="19"/>
      <c r="CD174" s="19"/>
      <c r="CE174" s="19"/>
      <c r="CF174" s="19"/>
      <c r="CG174" s="19"/>
      <c r="CH174" s="19"/>
      <c r="CI174" s="19"/>
      <c r="CJ174" s="19"/>
      <c r="CK174" s="19"/>
      <c r="CL174" s="19"/>
      <c r="CM174" s="19"/>
      <c r="CN174" s="19"/>
      <c r="CO174" s="19"/>
      <c r="CP174" s="19"/>
      <c r="CQ174" s="19"/>
      <c r="CR174" s="19"/>
      <c r="CS174" s="19"/>
      <c r="CT174" s="19"/>
      <c r="CU174" s="19"/>
      <c r="CV174" s="19"/>
      <c r="CW174" s="19"/>
      <c r="CX174" s="19"/>
      <c r="CY174" s="19"/>
      <c r="CZ174" s="19"/>
      <c r="DA174" s="19"/>
      <c r="DB174" s="19"/>
      <c r="DC174" s="19"/>
      <c r="DD174" s="19"/>
      <c r="DE174" s="19"/>
      <c r="DF174" s="19"/>
      <c r="DG174" s="19"/>
      <c r="DH174" s="19"/>
      <c r="DI174" s="19"/>
      <c r="DJ174" s="19"/>
      <c r="DK174" s="19"/>
      <c r="DL174" s="19"/>
      <c r="DM174" s="19"/>
      <c r="DN174" s="19"/>
      <c r="DO174" s="19"/>
      <c r="DP174" s="19"/>
      <c r="DQ174" s="19"/>
      <c r="DR174" s="19"/>
      <c r="DS174" s="19"/>
      <c r="DT174" s="19"/>
      <c r="DU174" s="19"/>
      <c r="DV174" s="19"/>
      <c r="DW174" s="19"/>
      <c r="DX174" s="19"/>
      <c r="DY174" s="19"/>
      <c r="DZ174" s="19"/>
      <c r="EA174" s="19"/>
      <c r="EB174" s="19"/>
      <c r="EC174" s="19"/>
      <c r="ED174" s="19"/>
      <c r="EE174" s="19"/>
      <c r="EF174" s="19"/>
      <c r="EG174" s="19"/>
      <c r="EH174" s="19"/>
      <c r="EI174" s="19"/>
      <c r="EJ174" s="19"/>
      <c r="EK174" s="19"/>
      <c r="EL174" s="19"/>
      <c r="EM174" s="19"/>
      <c r="EN174" s="19"/>
      <c r="EO174" s="19"/>
      <c r="EP174" s="19"/>
      <c r="EQ174" s="19"/>
      <c r="ER174" s="19"/>
      <c r="ES174" s="19"/>
      <c r="ET174" s="19"/>
      <c r="EU174" s="19"/>
      <c r="EV174" s="19"/>
      <c r="EW174" s="19"/>
      <c r="EX174" s="19"/>
      <c r="EY174" s="19"/>
      <c r="EZ174" s="19"/>
      <c r="FA174" s="19"/>
      <c r="FB174" s="19"/>
      <c r="FC174" s="19"/>
      <c r="FD174" s="19"/>
      <c r="FE174" s="19"/>
      <c r="FF174" s="19"/>
      <c r="FG174" s="19"/>
      <c r="FH174" s="19"/>
      <c r="FI174" s="19"/>
      <c r="FJ174" s="19"/>
      <c r="FK174" s="19"/>
      <c r="FL174" s="19"/>
      <c r="FM174" s="19"/>
      <c r="FN174" s="19"/>
      <c r="FO174" s="19"/>
      <c r="FP174" s="19"/>
      <c r="FQ174" s="19"/>
      <c r="FR174" s="19"/>
      <c r="FS174" s="19"/>
      <c r="FT174" s="19"/>
      <c r="FU174" s="19"/>
      <c r="FV174" s="19"/>
      <c r="FW174" s="19"/>
      <c r="FX174" s="19"/>
      <c r="FY174" s="19"/>
      <c r="FZ174" s="19"/>
      <c r="GA174" s="19"/>
      <c r="GB174" s="19"/>
      <c r="GC174" s="19"/>
      <c r="GD174" s="19"/>
      <c r="GE174" s="19"/>
      <c r="GF174" s="19"/>
      <c r="GG174" s="19"/>
      <c r="GH174" s="19"/>
      <c r="GI174" s="19"/>
      <c r="GJ174" s="19"/>
      <c r="GK174" s="19"/>
      <c r="GL174" s="19"/>
      <c r="GM174" s="19"/>
      <c r="GN174" s="19"/>
      <c r="GO174" s="19"/>
      <c r="GP174" s="19"/>
      <c r="GQ174" s="19"/>
      <c r="GR174" s="19"/>
      <c r="GS174" s="19"/>
      <c r="GT174" s="19"/>
      <c r="GU174" s="19"/>
      <c r="GV174" s="19"/>
      <c r="GW174" s="19"/>
      <c r="GX174" s="19"/>
      <c r="GY174" s="19"/>
      <c r="GZ174" s="19"/>
      <c r="HA174" s="19"/>
      <c r="HB174" s="19"/>
      <c r="HC174" s="19"/>
      <c r="HD174" s="19"/>
      <c r="HE174" s="19"/>
      <c r="HF174" s="19"/>
      <c r="HG174" s="19"/>
      <c r="HH174" s="19"/>
      <c r="HI174" s="19"/>
      <c r="HJ174" s="19"/>
      <c r="HK174" s="19"/>
      <c r="HL174" s="19"/>
      <c r="HM174" s="19"/>
      <c r="HN174" s="19"/>
      <c r="HO174" s="19"/>
      <c r="HP174" s="19"/>
      <c r="HQ174" s="19"/>
      <c r="HR174" s="19"/>
      <c r="HS174" s="19"/>
      <c r="HT174" s="19"/>
      <c r="HU174" s="19"/>
      <c r="HV174" s="19"/>
      <c r="HW174" s="19"/>
      <c r="HX174" s="19"/>
      <c r="HY174" s="19"/>
      <c r="HZ174" s="19"/>
      <c r="IA174" s="19"/>
      <c r="IB174" s="19"/>
      <c r="IC174" s="19"/>
      <c r="ID174" s="19"/>
      <c r="IE174" s="19"/>
      <c r="IF174" s="19"/>
    </row>
    <row r="175" spans="1:240" ht="13.5">
      <c r="B175" s="50" t="s">
        <v>105</v>
      </c>
      <c r="C175" s="51"/>
      <c r="D175" s="54">
        <f>D174/14.21*100</f>
        <v>59.767769176636165</v>
      </c>
      <c r="E175" s="123" t="s">
        <v>43</v>
      </c>
      <c r="F175" s="123"/>
      <c r="G175" s="123"/>
      <c r="H175" s="123"/>
      <c r="I175" s="60"/>
      <c r="J175" s="60"/>
      <c r="K175" s="123"/>
      <c r="L175" s="72"/>
      <c r="S175" s="115">
        <v>5</v>
      </c>
      <c r="T175" s="21">
        <v>3</v>
      </c>
      <c r="U175" s="21">
        <v>2.2000000000000002</v>
      </c>
      <c r="V175" s="21">
        <v>1.9</v>
      </c>
      <c r="W175" s="21">
        <v>1.7</v>
      </c>
      <c r="X175" s="21">
        <v>1.5</v>
      </c>
      <c r="Y175" s="21">
        <v>1.3</v>
      </c>
      <c r="Z175" s="21">
        <v>1.1499999999999999</v>
      </c>
      <c r="AA175" s="21">
        <v>1</v>
      </c>
    </row>
    <row r="176" spans="1:240" ht="13.5">
      <c r="B176" s="50" t="s">
        <v>104</v>
      </c>
      <c r="C176" s="51"/>
      <c r="D176" s="53">
        <f>0.149*28</f>
        <v>4.1719999999999997</v>
      </c>
      <c r="E176" s="123" t="s">
        <v>132</v>
      </c>
      <c r="F176" s="123"/>
      <c r="G176" s="123"/>
      <c r="H176" s="123"/>
      <c r="I176" s="60"/>
      <c r="J176" s="60"/>
      <c r="K176" s="123"/>
      <c r="L176" s="72"/>
    </row>
    <row r="177" spans="2:25" ht="13.5">
      <c r="B177" s="50" t="s">
        <v>105</v>
      </c>
      <c r="C177" s="51"/>
      <c r="D177" s="54">
        <f>D176/14.21*100</f>
        <v>29.359605911330043</v>
      </c>
      <c r="E177" s="123" t="s">
        <v>44</v>
      </c>
      <c r="F177" s="123"/>
      <c r="G177" s="123"/>
      <c r="H177" s="123"/>
      <c r="I177" s="60"/>
      <c r="J177" s="60"/>
      <c r="K177" s="123"/>
      <c r="L177" s="72"/>
    </row>
    <row r="178" spans="2:25" ht="13.5">
      <c r="B178" s="50" t="s">
        <v>213</v>
      </c>
      <c r="C178" s="49"/>
      <c r="D178" s="55">
        <v>30850</v>
      </c>
      <c r="E178" s="123" t="s">
        <v>238</v>
      </c>
      <c r="F178" s="123"/>
      <c r="G178" s="123"/>
      <c r="H178" s="123"/>
      <c r="I178" s="60"/>
      <c r="J178" s="60"/>
      <c r="K178" s="123"/>
      <c r="L178" s="72"/>
    </row>
    <row r="179" spans="2:25" s="56" customFormat="1">
      <c r="D179" s="57"/>
      <c r="E179" s="58"/>
      <c r="F179" s="59"/>
      <c r="G179" s="59"/>
      <c r="H179" s="60"/>
      <c r="I179" s="60"/>
      <c r="J179" s="60"/>
      <c r="S179" s="17"/>
      <c r="W179" s="17"/>
      <c r="X179" s="17"/>
    </row>
    <row r="180" spans="2:25" s="31" customFormat="1" ht="25.5">
      <c r="B180" s="145" t="str">
        <f>B$41</f>
        <v>Pozo de</v>
      </c>
      <c r="C180" s="145" t="str">
        <f>C$41</f>
        <v>Pozo a</v>
      </c>
      <c r="D180" s="145" t="s">
        <v>130</v>
      </c>
      <c r="E180" s="145" t="s">
        <v>208</v>
      </c>
      <c r="F180" s="145" t="str">
        <f>I41</f>
        <v>Ancho zanja
Bd (m)</v>
      </c>
      <c r="G180" s="142" t="s">
        <v>212</v>
      </c>
      <c r="H180" s="143" t="s">
        <v>46</v>
      </c>
      <c r="I180" s="145" t="s">
        <v>226</v>
      </c>
      <c r="J180" s="129" t="s">
        <v>47</v>
      </c>
      <c r="K180" s="145" t="s">
        <v>227</v>
      </c>
      <c r="L180" s="144" t="s">
        <v>228</v>
      </c>
      <c r="N180" s="17" t="s">
        <v>50</v>
      </c>
      <c r="O180" s="17" t="s">
        <v>51</v>
      </c>
      <c r="P180" s="61" t="s">
        <v>52</v>
      </c>
      <c r="Q180" s="61" t="s">
        <v>53</v>
      </c>
      <c r="R180" s="61" t="s">
        <v>54</v>
      </c>
      <c r="S180" s="61" t="s">
        <v>55</v>
      </c>
      <c r="T180" s="61" t="s">
        <v>56</v>
      </c>
      <c r="U180" s="61" t="s">
        <v>57</v>
      </c>
      <c r="V180" s="17"/>
      <c r="W180" s="17"/>
      <c r="X180" s="61" t="s">
        <v>58</v>
      </c>
      <c r="Y180" s="61" t="s">
        <v>59</v>
      </c>
    </row>
    <row r="181" spans="2:25" s="74" customFormat="1">
      <c r="B181" s="140">
        <f t="shared" ref="B181:D202" si="57">+B104</f>
        <v>130362</v>
      </c>
      <c r="C181" s="140" t="str">
        <f t="shared" si="57"/>
        <v>130317A</v>
      </c>
      <c r="D181" s="135">
        <f t="shared" si="57"/>
        <v>39.630000000000003</v>
      </c>
      <c r="E181" s="135">
        <f t="shared" ref="E181:E202" si="58">+F104</f>
        <v>0.2732</v>
      </c>
      <c r="F181" s="135">
        <f t="shared" ref="F181:F202" si="59">+H104</f>
        <v>1</v>
      </c>
      <c r="G181" s="135">
        <f>K42+L104</f>
        <v>29.256795085591616</v>
      </c>
      <c r="H181" s="132">
        <v>0.1</v>
      </c>
      <c r="I181" s="156">
        <v>11000</v>
      </c>
      <c r="J181" s="52">
        <v>1.1206</v>
      </c>
      <c r="K181" s="140">
        <f>I181*J181</f>
        <v>12326.6</v>
      </c>
      <c r="L181" s="135">
        <f>(($D$173*H181*G181)/(IF(E181&lt;=0.5,$D$175,$D$177)+(0.061*K181)))*100</f>
        <v>0.54066420269226256</v>
      </c>
      <c r="M181" s="81"/>
      <c r="N181" s="243">
        <f t="shared" ref="N181" si="60">$D$178/I181</f>
        <v>2.8045454545454547</v>
      </c>
      <c r="O181" s="243">
        <f t="shared" ref="O181" si="61">F181/E181</f>
        <v>3.6603221083455346</v>
      </c>
      <c r="P181" s="82"/>
      <c r="Q181" s="82"/>
      <c r="R181" s="83"/>
      <c r="S181" s="82"/>
      <c r="T181" s="83"/>
      <c r="U181" s="83"/>
      <c r="V181" s="83"/>
      <c r="W181" s="83"/>
      <c r="X181" s="84"/>
      <c r="Y181" s="84"/>
    </row>
    <row r="182" spans="2:25" s="74" customFormat="1">
      <c r="B182" s="140" t="str">
        <f t="shared" si="57"/>
        <v>130317A</v>
      </c>
      <c r="C182" s="140">
        <f t="shared" si="57"/>
        <v>130317</v>
      </c>
      <c r="D182" s="135">
        <f t="shared" si="57"/>
        <v>70.36</v>
      </c>
      <c r="E182" s="135">
        <f t="shared" si="58"/>
        <v>0.2732</v>
      </c>
      <c r="F182" s="135">
        <f t="shared" si="59"/>
        <v>1</v>
      </c>
      <c r="G182" s="135">
        <f t="shared" ref="G182:G202" si="62">K43+L105</f>
        <v>29.421598712941382</v>
      </c>
      <c r="H182" s="132">
        <v>0.1</v>
      </c>
      <c r="I182" s="156">
        <v>11000</v>
      </c>
      <c r="J182" s="52">
        <v>1.1206</v>
      </c>
      <c r="K182" s="140">
        <f t="shared" ref="K182:K202" si="63">I182*J182</f>
        <v>12326.6</v>
      </c>
      <c r="L182" s="135">
        <f t="shared" ref="L182:L202" si="64">(($D$173*H182*G182)/(IF(E182&lt;=0.5,$D$175,$D$177)+(0.061*K182)))*100</f>
        <v>0.54370976600571441</v>
      </c>
      <c r="M182" s="81"/>
      <c r="N182" s="243">
        <f t="shared" ref="N182:N202" si="65">$D$178/I182</f>
        <v>2.8045454545454547</v>
      </c>
      <c r="O182" s="243">
        <f t="shared" ref="O182:O202" si="66">F182/E182</f>
        <v>3.6603221083455346</v>
      </c>
      <c r="P182" s="82"/>
      <c r="Q182" s="82"/>
      <c r="R182" s="83"/>
      <c r="S182" s="82"/>
      <c r="T182" s="83"/>
      <c r="U182" s="83"/>
      <c r="V182" s="83"/>
      <c r="W182" s="83"/>
      <c r="X182" s="84"/>
      <c r="Y182" s="84"/>
    </row>
    <row r="183" spans="2:25" s="74" customFormat="1">
      <c r="B183" s="140" t="str">
        <f t="shared" si="57"/>
        <v>VICS-141</v>
      </c>
      <c r="C183" s="140">
        <f t="shared" si="57"/>
        <v>79879</v>
      </c>
      <c r="D183" s="135">
        <f t="shared" si="57"/>
        <v>55.38</v>
      </c>
      <c r="E183" s="135">
        <f t="shared" si="58"/>
        <v>0.2732</v>
      </c>
      <c r="F183" s="135">
        <f t="shared" si="59"/>
        <v>1</v>
      </c>
      <c r="G183" s="135">
        <f t="shared" si="62"/>
        <v>29.011078375092247</v>
      </c>
      <c r="H183" s="132">
        <v>0.1</v>
      </c>
      <c r="I183" s="156">
        <v>11000</v>
      </c>
      <c r="J183" s="52">
        <v>1.1206</v>
      </c>
      <c r="K183" s="140">
        <f t="shared" si="63"/>
        <v>12326.6</v>
      </c>
      <c r="L183" s="135">
        <f t="shared" si="64"/>
        <v>0.53612336939245475</v>
      </c>
      <c r="M183" s="81"/>
      <c r="N183" s="243">
        <f t="shared" si="65"/>
        <v>2.8045454545454547</v>
      </c>
      <c r="O183" s="243">
        <f t="shared" si="66"/>
        <v>3.6603221083455346</v>
      </c>
      <c r="P183" s="82"/>
      <c r="Q183" s="82"/>
      <c r="R183" s="83"/>
      <c r="S183" s="82"/>
      <c r="T183" s="83"/>
      <c r="U183" s="83"/>
      <c r="V183" s="83"/>
      <c r="W183" s="83"/>
      <c r="X183" s="84"/>
      <c r="Y183" s="84"/>
    </row>
    <row r="184" spans="2:25" s="74" customFormat="1">
      <c r="B184" s="140">
        <f t="shared" si="57"/>
        <v>79879</v>
      </c>
      <c r="C184" s="140">
        <f t="shared" si="57"/>
        <v>130362</v>
      </c>
      <c r="D184" s="135">
        <f t="shared" si="57"/>
        <v>49.85</v>
      </c>
      <c r="E184" s="135">
        <f t="shared" si="58"/>
        <v>0.2732</v>
      </c>
      <c r="F184" s="135">
        <f t="shared" si="59"/>
        <v>1</v>
      </c>
      <c r="G184" s="135">
        <f t="shared" si="62"/>
        <v>29.454629607391119</v>
      </c>
      <c r="H184" s="132">
        <v>0.1</v>
      </c>
      <c r="I184" s="156">
        <v>11000</v>
      </c>
      <c r="J184" s="52">
        <v>1.1206</v>
      </c>
      <c r="K184" s="140">
        <f t="shared" si="63"/>
        <v>12326.6</v>
      </c>
      <c r="L184" s="135">
        <f t="shared" si="64"/>
        <v>0.54432017538786415</v>
      </c>
      <c r="M184" s="81"/>
      <c r="N184" s="243">
        <f t="shared" si="65"/>
        <v>2.8045454545454547</v>
      </c>
      <c r="O184" s="243">
        <f t="shared" si="66"/>
        <v>3.6603221083455346</v>
      </c>
      <c r="P184" s="82"/>
      <c r="Q184" s="82"/>
      <c r="R184" s="83"/>
      <c r="S184" s="82"/>
      <c r="T184" s="83"/>
      <c r="U184" s="83"/>
      <c r="V184" s="83"/>
      <c r="W184" s="83"/>
      <c r="X184" s="84"/>
      <c r="Y184" s="84"/>
    </row>
    <row r="185" spans="2:25" s="74" customFormat="1">
      <c r="B185" s="140">
        <f t="shared" si="57"/>
        <v>79879</v>
      </c>
      <c r="C185" s="140">
        <f t="shared" si="57"/>
        <v>130234</v>
      </c>
      <c r="D185" s="135">
        <f t="shared" si="57"/>
        <v>51.12</v>
      </c>
      <c r="E185" s="135">
        <f t="shared" si="58"/>
        <v>0.2732</v>
      </c>
      <c r="F185" s="135">
        <f t="shared" si="59"/>
        <v>1</v>
      </c>
      <c r="G185" s="135">
        <f t="shared" si="62"/>
        <v>31.413280724167478</v>
      </c>
      <c r="H185" s="132">
        <v>0.1</v>
      </c>
      <c r="I185" s="156">
        <v>11000</v>
      </c>
      <c r="J185" s="52">
        <v>1.1206</v>
      </c>
      <c r="K185" s="140">
        <f t="shared" si="63"/>
        <v>12326.6</v>
      </c>
      <c r="L185" s="135">
        <f t="shared" si="64"/>
        <v>0.5805159562758988</v>
      </c>
      <c r="M185" s="81"/>
      <c r="N185" s="243">
        <f t="shared" si="65"/>
        <v>2.8045454545454547</v>
      </c>
      <c r="O185" s="243">
        <f t="shared" si="66"/>
        <v>3.6603221083455346</v>
      </c>
      <c r="P185" s="82"/>
      <c r="Q185" s="82"/>
      <c r="R185" s="83"/>
      <c r="S185" s="82"/>
      <c r="T185" s="83"/>
      <c r="U185" s="83"/>
      <c r="V185" s="83"/>
      <c r="W185" s="83"/>
      <c r="X185" s="84"/>
      <c r="Y185" s="84"/>
    </row>
    <row r="186" spans="2:25" s="74" customFormat="1">
      <c r="B186" s="140">
        <f t="shared" si="57"/>
        <v>130234</v>
      </c>
      <c r="C186" s="140" t="str">
        <f t="shared" si="57"/>
        <v>VICS-130A</v>
      </c>
      <c r="D186" s="135">
        <f t="shared" si="57"/>
        <v>54.91</v>
      </c>
      <c r="E186" s="135">
        <f t="shared" si="58"/>
        <v>0.32400000000000001</v>
      </c>
      <c r="F186" s="135">
        <f t="shared" si="59"/>
        <v>1</v>
      </c>
      <c r="G186" s="135">
        <f t="shared" si="62"/>
        <v>31.57307525648492</v>
      </c>
      <c r="H186" s="132">
        <v>0.1</v>
      </c>
      <c r="I186" s="156">
        <v>11000</v>
      </c>
      <c r="J186" s="52">
        <v>1.1718999999999999</v>
      </c>
      <c r="K186" s="140">
        <f t="shared" si="63"/>
        <v>12890.9</v>
      </c>
      <c r="L186" s="135">
        <f t="shared" si="64"/>
        <v>0.55973175452878721</v>
      </c>
      <c r="M186" s="81"/>
      <c r="N186" s="244">
        <f t="shared" si="65"/>
        <v>2.8045454545454547</v>
      </c>
      <c r="O186" s="244">
        <f t="shared" si="66"/>
        <v>3.0864197530864197</v>
      </c>
      <c r="P186" s="82"/>
      <c r="Q186" s="82"/>
      <c r="R186" s="83"/>
      <c r="S186" s="82"/>
      <c r="T186" s="83"/>
      <c r="U186" s="83"/>
      <c r="V186" s="83"/>
      <c r="W186" s="83"/>
      <c r="X186" s="84"/>
      <c r="Y186" s="84"/>
    </row>
    <row r="187" spans="2:25" s="74" customFormat="1">
      <c r="B187" s="140" t="str">
        <f t="shared" si="57"/>
        <v>VICS-130A</v>
      </c>
      <c r="C187" s="140">
        <f t="shared" si="57"/>
        <v>130178</v>
      </c>
      <c r="D187" s="135">
        <f t="shared" si="57"/>
        <v>55.4</v>
      </c>
      <c r="E187" s="135">
        <f t="shared" si="58"/>
        <v>0.32400000000000001</v>
      </c>
      <c r="F187" s="135">
        <f t="shared" si="59"/>
        <v>1</v>
      </c>
      <c r="G187" s="135">
        <f t="shared" si="62"/>
        <v>31.0450496965572</v>
      </c>
      <c r="H187" s="132">
        <v>0.1</v>
      </c>
      <c r="I187" s="156">
        <v>11000</v>
      </c>
      <c r="J187" s="52">
        <v>1.1718999999999999</v>
      </c>
      <c r="K187" s="140">
        <f t="shared" si="63"/>
        <v>12890.9</v>
      </c>
      <c r="L187" s="135">
        <f t="shared" si="64"/>
        <v>0.55037084588452445</v>
      </c>
      <c r="M187" s="81"/>
      <c r="N187" s="244">
        <f t="shared" si="65"/>
        <v>2.8045454545454547</v>
      </c>
      <c r="O187" s="244">
        <f t="shared" si="66"/>
        <v>3.0864197530864197</v>
      </c>
      <c r="P187" s="82"/>
      <c r="Q187" s="82"/>
      <c r="R187" s="83"/>
      <c r="S187" s="82"/>
      <c r="T187" s="83"/>
      <c r="U187" s="83"/>
      <c r="V187" s="83"/>
      <c r="W187" s="83"/>
      <c r="X187" s="84"/>
      <c r="Y187" s="84"/>
    </row>
    <row r="188" spans="2:25" s="74" customFormat="1">
      <c r="B188" s="140">
        <f t="shared" si="57"/>
        <v>130178</v>
      </c>
      <c r="C188" s="140" t="str">
        <f t="shared" si="57"/>
        <v>VICS-132</v>
      </c>
      <c r="D188" s="135">
        <f t="shared" si="57"/>
        <v>48.08</v>
      </c>
      <c r="E188" s="135">
        <f t="shared" si="58"/>
        <v>0.32400000000000001</v>
      </c>
      <c r="F188" s="135">
        <f t="shared" si="59"/>
        <v>1</v>
      </c>
      <c r="G188" s="135">
        <f t="shared" si="62"/>
        <v>31.025814337761336</v>
      </c>
      <c r="H188" s="132">
        <v>0.1</v>
      </c>
      <c r="I188" s="156">
        <v>11000</v>
      </c>
      <c r="J188" s="52">
        <v>1.1718999999999999</v>
      </c>
      <c r="K188" s="140">
        <f t="shared" si="63"/>
        <v>12890.9</v>
      </c>
      <c r="L188" s="135">
        <f t="shared" si="64"/>
        <v>0.55002983883847856</v>
      </c>
      <c r="M188" s="81"/>
      <c r="N188" s="244">
        <f t="shared" si="65"/>
        <v>2.8045454545454547</v>
      </c>
      <c r="O188" s="244">
        <f t="shared" si="66"/>
        <v>3.0864197530864197</v>
      </c>
      <c r="P188" s="82"/>
      <c r="Q188" s="82"/>
      <c r="R188" s="83"/>
      <c r="S188" s="82"/>
      <c r="T188" s="83"/>
      <c r="U188" s="83"/>
      <c r="V188" s="83"/>
      <c r="W188" s="83"/>
      <c r="X188" s="84"/>
      <c r="Y188" s="84"/>
    </row>
    <row r="189" spans="2:25" s="74" customFormat="1">
      <c r="B189" s="140">
        <f t="shared" si="57"/>
        <v>130317</v>
      </c>
      <c r="C189" s="140">
        <f t="shared" si="57"/>
        <v>130251</v>
      </c>
      <c r="D189" s="135">
        <f t="shared" si="57"/>
        <v>50.83</v>
      </c>
      <c r="E189" s="135">
        <f t="shared" si="58"/>
        <v>0.2732</v>
      </c>
      <c r="F189" s="135">
        <f t="shared" si="59"/>
        <v>1</v>
      </c>
      <c r="G189" s="135">
        <f t="shared" si="62"/>
        <v>30.416878145672271</v>
      </c>
      <c r="H189" s="132">
        <v>0.1</v>
      </c>
      <c r="I189" s="156">
        <v>11000</v>
      </c>
      <c r="J189" s="52">
        <v>1.1206</v>
      </c>
      <c r="K189" s="140">
        <f t="shared" si="63"/>
        <v>12326.6</v>
      </c>
      <c r="L189" s="135">
        <f t="shared" si="64"/>
        <v>0.56210248330025026</v>
      </c>
      <c r="M189" s="81"/>
      <c r="N189" s="243">
        <f t="shared" si="65"/>
        <v>2.8045454545454547</v>
      </c>
      <c r="O189" s="243">
        <f t="shared" si="66"/>
        <v>3.6603221083455346</v>
      </c>
      <c r="P189" s="82"/>
      <c r="Q189" s="82"/>
      <c r="R189" s="83"/>
      <c r="S189" s="82"/>
      <c r="T189" s="83"/>
      <c r="U189" s="83"/>
      <c r="V189" s="83"/>
      <c r="W189" s="83"/>
      <c r="X189" s="84"/>
      <c r="Y189" s="84"/>
    </row>
    <row r="190" spans="2:25" s="74" customFormat="1">
      <c r="B190" s="140">
        <f t="shared" si="57"/>
        <v>130178</v>
      </c>
      <c r="C190" s="140">
        <f t="shared" si="57"/>
        <v>130251</v>
      </c>
      <c r="D190" s="135">
        <f t="shared" si="57"/>
        <v>50.1</v>
      </c>
      <c r="E190" s="135">
        <f t="shared" si="58"/>
        <v>0.2732</v>
      </c>
      <c r="F190" s="135">
        <f t="shared" si="59"/>
        <v>1</v>
      </c>
      <c r="G190" s="135">
        <f t="shared" si="62"/>
        <v>29.792416716663656</v>
      </c>
      <c r="H190" s="132">
        <v>0.1</v>
      </c>
      <c r="I190" s="156">
        <v>11000</v>
      </c>
      <c r="J190" s="52">
        <v>1.1206</v>
      </c>
      <c r="K190" s="140">
        <f t="shared" si="63"/>
        <v>12326.6</v>
      </c>
      <c r="L190" s="135">
        <f t="shared" si="64"/>
        <v>0.55056246534410413</v>
      </c>
      <c r="M190" s="81"/>
      <c r="N190" s="243">
        <f t="shared" si="65"/>
        <v>2.8045454545454547</v>
      </c>
      <c r="O190" s="243">
        <f t="shared" si="66"/>
        <v>3.6603221083455346</v>
      </c>
      <c r="P190" s="82"/>
      <c r="Q190" s="82"/>
      <c r="R190" s="83"/>
      <c r="S190" s="82"/>
      <c r="T190" s="83"/>
      <c r="U190" s="83"/>
      <c r="V190" s="83"/>
      <c r="W190" s="83"/>
      <c r="X190" s="84"/>
      <c r="Y190" s="84"/>
    </row>
    <row r="191" spans="2:25" s="74" customFormat="1">
      <c r="B191" s="140" t="str">
        <f t="shared" si="57"/>
        <v>PVA-01</v>
      </c>
      <c r="C191" s="140" t="str">
        <f t="shared" si="57"/>
        <v>PVA-02</v>
      </c>
      <c r="D191" s="135">
        <f t="shared" si="57"/>
        <v>6.14</v>
      </c>
      <c r="E191" s="135">
        <f t="shared" si="58"/>
        <v>0.2732</v>
      </c>
      <c r="F191" s="135">
        <f t="shared" si="59"/>
        <v>1</v>
      </c>
      <c r="G191" s="135">
        <f t="shared" si="62"/>
        <v>29.610843917517002</v>
      </c>
      <c r="H191" s="132">
        <v>0.1</v>
      </c>
      <c r="I191" s="156">
        <v>11000</v>
      </c>
      <c r="J191" s="52">
        <v>1.1206</v>
      </c>
      <c r="K191" s="140">
        <f t="shared" si="63"/>
        <v>12326.6</v>
      </c>
      <c r="L191" s="135">
        <f t="shared" si="64"/>
        <v>0.54720700852137194</v>
      </c>
      <c r="M191" s="81"/>
      <c r="N191" s="243">
        <f t="shared" si="65"/>
        <v>2.8045454545454547</v>
      </c>
      <c r="O191" s="243">
        <f t="shared" si="66"/>
        <v>3.6603221083455346</v>
      </c>
      <c r="P191" s="82"/>
      <c r="Q191" s="82"/>
      <c r="R191" s="83"/>
      <c r="S191" s="82"/>
      <c r="T191" s="83"/>
      <c r="U191" s="83"/>
      <c r="V191" s="83"/>
      <c r="W191" s="83"/>
      <c r="X191" s="84"/>
      <c r="Y191" s="84"/>
    </row>
    <row r="192" spans="2:25" s="74" customFormat="1">
      <c r="B192" s="140" t="str">
        <f t="shared" si="57"/>
        <v>PVA-02</v>
      </c>
      <c r="C192" s="140">
        <f t="shared" si="57"/>
        <v>130251</v>
      </c>
      <c r="D192" s="135">
        <f t="shared" si="57"/>
        <v>11.23</v>
      </c>
      <c r="E192" s="135">
        <f t="shared" si="58"/>
        <v>0.2732</v>
      </c>
      <c r="F192" s="135">
        <f t="shared" si="59"/>
        <v>1</v>
      </c>
      <c r="G192" s="135">
        <f t="shared" si="62"/>
        <v>31.413280724167478</v>
      </c>
      <c r="H192" s="132">
        <v>0.1</v>
      </c>
      <c r="I192" s="156">
        <v>11000</v>
      </c>
      <c r="J192" s="52">
        <v>1.1206</v>
      </c>
      <c r="K192" s="140">
        <f t="shared" si="63"/>
        <v>12326.6</v>
      </c>
      <c r="L192" s="135">
        <f t="shared" si="64"/>
        <v>0.5805159562758988</v>
      </c>
      <c r="M192" s="81"/>
      <c r="N192" s="243">
        <f t="shared" si="65"/>
        <v>2.8045454545454547</v>
      </c>
      <c r="O192" s="243">
        <f t="shared" si="66"/>
        <v>3.6603221083455346</v>
      </c>
      <c r="P192" s="82"/>
      <c r="Q192" s="82"/>
      <c r="R192" s="83"/>
      <c r="S192" s="82"/>
      <c r="T192" s="83"/>
      <c r="U192" s="83"/>
      <c r="V192" s="83"/>
      <c r="W192" s="83"/>
      <c r="X192" s="84"/>
      <c r="Y192" s="84"/>
    </row>
    <row r="193" spans="2:25" s="354" customFormat="1">
      <c r="B193" s="344" t="str">
        <f t="shared" si="57"/>
        <v>PV-01</v>
      </c>
      <c r="C193" s="344" t="str">
        <f t="shared" si="57"/>
        <v>PV-02</v>
      </c>
      <c r="D193" s="345">
        <f t="shared" si="57"/>
        <v>10.09</v>
      </c>
      <c r="E193" s="345">
        <f t="shared" si="58"/>
        <v>0.32400000000000001</v>
      </c>
      <c r="F193" s="345">
        <f t="shared" si="59"/>
        <v>1</v>
      </c>
      <c r="G193" s="345">
        <f t="shared" si="62"/>
        <v>31.057333900968018</v>
      </c>
      <c r="H193" s="346">
        <v>0.1</v>
      </c>
      <c r="I193" s="347">
        <v>11000</v>
      </c>
      <c r="J193" s="348">
        <v>1.1718999999999999</v>
      </c>
      <c r="K193" s="344">
        <f t="shared" si="63"/>
        <v>12890.9</v>
      </c>
      <c r="L193" s="345">
        <f t="shared" si="64"/>
        <v>0.5505886219241406</v>
      </c>
      <c r="M193" s="349"/>
      <c r="N193" s="350">
        <f t="shared" si="65"/>
        <v>2.8045454545454547</v>
      </c>
      <c r="O193" s="350">
        <f t="shared" si="66"/>
        <v>3.0864197530864197</v>
      </c>
      <c r="P193" s="351"/>
      <c r="Q193" s="351"/>
      <c r="R193" s="352"/>
      <c r="S193" s="351"/>
      <c r="T193" s="352"/>
      <c r="U193" s="352"/>
      <c r="V193" s="352"/>
      <c r="W193" s="352"/>
      <c r="X193" s="353"/>
      <c r="Y193" s="353"/>
    </row>
    <row r="194" spans="2:25" s="74" customFormat="1">
      <c r="B194" s="140" t="str">
        <f t="shared" si="57"/>
        <v>PV-02</v>
      </c>
      <c r="C194" s="140">
        <f t="shared" si="57"/>
        <v>125889</v>
      </c>
      <c r="D194" s="135">
        <f t="shared" si="57"/>
        <v>14.58</v>
      </c>
      <c r="E194" s="135">
        <f t="shared" si="58"/>
        <v>0.32400000000000001</v>
      </c>
      <c r="F194" s="135">
        <f t="shared" si="59"/>
        <v>1</v>
      </c>
      <c r="G194" s="135">
        <f t="shared" si="62"/>
        <v>31.057333900968018</v>
      </c>
      <c r="H194" s="132">
        <v>0.1</v>
      </c>
      <c r="I194" s="156">
        <v>11000</v>
      </c>
      <c r="J194" s="52">
        <v>1.1718999999999999</v>
      </c>
      <c r="K194" s="140">
        <f t="shared" si="63"/>
        <v>12890.9</v>
      </c>
      <c r="L194" s="135">
        <f t="shared" si="64"/>
        <v>0.5505886219241406</v>
      </c>
      <c r="M194" s="81"/>
      <c r="N194" s="244">
        <f t="shared" si="65"/>
        <v>2.8045454545454547</v>
      </c>
      <c r="O194" s="244">
        <f t="shared" si="66"/>
        <v>3.0864197530864197</v>
      </c>
      <c r="P194" s="82"/>
      <c r="Q194" s="82"/>
      <c r="R194" s="83"/>
      <c r="S194" s="82"/>
      <c r="T194" s="83"/>
      <c r="U194" s="83"/>
      <c r="V194" s="83"/>
      <c r="W194" s="83"/>
      <c r="X194" s="84"/>
      <c r="Y194" s="84"/>
    </row>
    <row r="195" spans="2:25" s="74" customFormat="1">
      <c r="B195" s="140">
        <f t="shared" si="57"/>
        <v>125889</v>
      </c>
      <c r="C195" s="140">
        <f t="shared" si="57"/>
        <v>125890</v>
      </c>
      <c r="D195" s="135">
        <f t="shared" si="57"/>
        <v>53.53</v>
      </c>
      <c r="E195" s="135">
        <f t="shared" si="58"/>
        <v>0.32400000000000001</v>
      </c>
      <c r="F195" s="135">
        <f t="shared" si="59"/>
        <v>1</v>
      </c>
      <c r="G195" s="135">
        <f t="shared" si="62"/>
        <v>31.108105205696987</v>
      </c>
      <c r="H195" s="132">
        <v>0.1</v>
      </c>
      <c r="I195" s="156">
        <v>11000</v>
      </c>
      <c r="J195" s="52">
        <v>1.1718999999999999</v>
      </c>
      <c r="K195" s="140">
        <f t="shared" si="63"/>
        <v>12890.9</v>
      </c>
      <c r="L195" s="135">
        <f t="shared" si="64"/>
        <v>0.55148870249104143</v>
      </c>
      <c r="M195" s="81"/>
      <c r="N195" s="244">
        <f t="shared" si="65"/>
        <v>2.8045454545454547</v>
      </c>
      <c r="O195" s="244">
        <f t="shared" si="66"/>
        <v>3.0864197530864197</v>
      </c>
      <c r="P195" s="82"/>
      <c r="Q195" s="82"/>
      <c r="R195" s="83"/>
      <c r="S195" s="82"/>
      <c r="T195" s="83"/>
      <c r="U195" s="83"/>
      <c r="V195" s="83"/>
      <c r="W195" s="83"/>
      <c r="X195" s="84"/>
      <c r="Y195" s="84"/>
    </row>
    <row r="196" spans="2:25" s="74" customFormat="1">
      <c r="B196" s="140">
        <f t="shared" si="57"/>
        <v>78120</v>
      </c>
      <c r="C196" s="140">
        <f t="shared" si="57"/>
        <v>77975</v>
      </c>
      <c r="D196" s="135">
        <f t="shared" si="57"/>
        <v>50.07</v>
      </c>
      <c r="E196" s="135">
        <f t="shared" si="58"/>
        <v>1.0649999999999999</v>
      </c>
      <c r="F196" s="135">
        <f t="shared" si="59"/>
        <v>1.7999999999999998</v>
      </c>
      <c r="G196" s="135">
        <f t="shared" si="62"/>
        <v>56.381532620009921</v>
      </c>
      <c r="H196" s="132">
        <v>0.1</v>
      </c>
      <c r="I196" s="156">
        <v>11000</v>
      </c>
      <c r="J196" s="52">
        <v>1.6335999999999999</v>
      </c>
      <c r="K196" s="140">
        <f t="shared" si="63"/>
        <v>17969.599999999999</v>
      </c>
      <c r="L196" s="135">
        <f t="shared" si="64"/>
        <v>0.75141632829264515</v>
      </c>
      <c r="M196" s="81"/>
      <c r="N196" s="81">
        <f t="shared" si="65"/>
        <v>2.8045454545454547</v>
      </c>
      <c r="O196" s="81">
        <f t="shared" si="66"/>
        <v>1.6901408450704225</v>
      </c>
      <c r="P196" s="82"/>
      <c r="Q196" s="82"/>
      <c r="R196" s="83"/>
      <c r="S196" s="82"/>
      <c r="T196" s="83"/>
      <c r="U196" s="83"/>
      <c r="V196" s="83"/>
      <c r="W196" s="83"/>
      <c r="X196" s="84"/>
      <c r="Y196" s="84"/>
    </row>
    <row r="197" spans="2:25" s="74" customFormat="1">
      <c r="B197" s="140">
        <f t="shared" si="57"/>
        <v>77975</v>
      </c>
      <c r="C197" s="140">
        <f t="shared" si="57"/>
        <v>77724</v>
      </c>
      <c r="D197" s="135">
        <f t="shared" si="57"/>
        <v>50.46</v>
      </c>
      <c r="E197" s="135">
        <f t="shared" si="58"/>
        <v>1.0649999999999999</v>
      </c>
      <c r="F197" s="135">
        <f t="shared" si="59"/>
        <v>1.7999999999999998</v>
      </c>
      <c r="G197" s="135">
        <f t="shared" si="62"/>
        <v>56.642200003568455</v>
      </c>
      <c r="H197" s="132">
        <v>0.1</v>
      </c>
      <c r="I197" s="156">
        <v>11000</v>
      </c>
      <c r="J197" s="52">
        <v>1.6335999999999999</v>
      </c>
      <c r="K197" s="140">
        <f t="shared" si="63"/>
        <v>17969.599999999999</v>
      </c>
      <c r="L197" s="135">
        <f t="shared" si="64"/>
        <v>0.75489033332864319</v>
      </c>
      <c r="M197" s="81"/>
      <c r="N197" s="81">
        <f t="shared" si="65"/>
        <v>2.8045454545454547</v>
      </c>
      <c r="O197" s="81">
        <f t="shared" si="66"/>
        <v>1.6901408450704225</v>
      </c>
      <c r="P197" s="82"/>
      <c r="Q197" s="82"/>
      <c r="R197" s="83"/>
      <c r="S197" s="82"/>
      <c r="T197" s="83"/>
      <c r="U197" s="83"/>
      <c r="V197" s="83"/>
      <c r="W197" s="83"/>
      <c r="X197" s="84"/>
      <c r="Y197" s="84"/>
    </row>
    <row r="198" spans="2:25" s="74" customFormat="1">
      <c r="B198" s="140">
        <f t="shared" si="57"/>
        <v>78745</v>
      </c>
      <c r="C198" s="140">
        <f t="shared" si="57"/>
        <v>77970</v>
      </c>
      <c r="D198" s="135">
        <f t="shared" si="57"/>
        <v>51.41</v>
      </c>
      <c r="E198" s="135">
        <f t="shared" si="58"/>
        <v>0.32400000000000001</v>
      </c>
      <c r="F198" s="135">
        <f t="shared" si="59"/>
        <v>1</v>
      </c>
      <c r="G198" s="135">
        <f t="shared" si="62"/>
        <v>31.134422210458208</v>
      </c>
      <c r="H198" s="132">
        <v>0.1</v>
      </c>
      <c r="I198" s="156">
        <v>11000</v>
      </c>
      <c r="J198" s="52">
        <v>1.1718999999999999</v>
      </c>
      <c r="K198" s="140">
        <f t="shared" si="63"/>
        <v>12890.9</v>
      </c>
      <c r="L198" s="135">
        <f t="shared" si="64"/>
        <v>0.55195525391592737</v>
      </c>
      <c r="M198" s="81"/>
      <c r="N198" s="244">
        <f t="shared" si="65"/>
        <v>2.8045454545454547</v>
      </c>
      <c r="O198" s="244">
        <f t="shared" si="66"/>
        <v>3.0864197530864197</v>
      </c>
      <c r="P198" s="82"/>
      <c r="Q198" s="82"/>
      <c r="R198" s="83"/>
      <c r="S198" s="82"/>
      <c r="T198" s="83"/>
      <c r="U198" s="83"/>
      <c r="V198" s="83"/>
      <c r="W198" s="83"/>
      <c r="X198" s="84"/>
      <c r="Y198" s="84"/>
    </row>
    <row r="199" spans="2:25" s="354" customFormat="1">
      <c r="B199" s="344">
        <f t="shared" si="57"/>
        <v>77970</v>
      </c>
      <c r="C199" s="344" t="str">
        <f t="shared" si="57"/>
        <v>VCP-163</v>
      </c>
      <c r="D199" s="345">
        <f t="shared" si="57"/>
        <v>75.95</v>
      </c>
      <c r="E199" s="345">
        <f t="shared" si="58"/>
        <v>0.32400000000000001</v>
      </c>
      <c r="F199" s="345">
        <f t="shared" si="59"/>
        <v>1</v>
      </c>
      <c r="G199" s="345">
        <f t="shared" si="62"/>
        <v>31.441255059319314</v>
      </c>
      <c r="H199" s="346">
        <v>0.1</v>
      </c>
      <c r="I199" s="347">
        <v>11000</v>
      </c>
      <c r="J199" s="348">
        <v>1.1718999999999999</v>
      </c>
      <c r="K199" s="344">
        <f t="shared" si="63"/>
        <v>12890.9</v>
      </c>
      <c r="L199" s="345">
        <f t="shared" si="64"/>
        <v>0.55739482821918807</v>
      </c>
      <c r="M199" s="349"/>
      <c r="N199" s="350">
        <f t="shared" si="65"/>
        <v>2.8045454545454547</v>
      </c>
      <c r="O199" s="350">
        <f t="shared" si="66"/>
        <v>3.0864197530864197</v>
      </c>
      <c r="P199" s="351"/>
      <c r="Q199" s="351"/>
      <c r="R199" s="352"/>
      <c r="S199" s="351"/>
      <c r="T199" s="352"/>
      <c r="U199" s="352"/>
      <c r="V199" s="352"/>
      <c r="W199" s="352"/>
      <c r="X199" s="353"/>
      <c r="Y199" s="353"/>
    </row>
    <row r="200" spans="2:25" s="74" customFormat="1">
      <c r="B200" s="140" t="str">
        <f t="shared" si="57"/>
        <v>PV-03</v>
      </c>
      <c r="C200" s="140">
        <f t="shared" si="57"/>
        <v>78745</v>
      </c>
      <c r="D200" s="135">
        <f t="shared" si="57"/>
        <v>65.150000000000006</v>
      </c>
      <c r="E200" s="135">
        <f t="shared" si="58"/>
        <v>0.32400000000000001</v>
      </c>
      <c r="F200" s="135">
        <f t="shared" si="59"/>
        <v>1</v>
      </c>
      <c r="G200" s="135">
        <f t="shared" si="62"/>
        <v>32.954042705590254</v>
      </c>
      <c r="H200" s="132">
        <v>0.1</v>
      </c>
      <c r="I200" s="156">
        <v>11000</v>
      </c>
      <c r="J200" s="52">
        <v>1.1718999999999999</v>
      </c>
      <c r="K200" s="140">
        <f t="shared" si="63"/>
        <v>12890.9</v>
      </c>
      <c r="L200" s="135">
        <f t="shared" si="64"/>
        <v>0.58421373251020392</v>
      </c>
      <c r="M200" s="81"/>
      <c r="N200" s="244">
        <f t="shared" si="65"/>
        <v>2.8045454545454547</v>
      </c>
      <c r="O200" s="244">
        <f t="shared" si="66"/>
        <v>3.0864197530864197</v>
      </c>
      <c r="P200" s="82"/>
      <c r="Q200" s="82"/>
      <c r="R200" s="83"/>
      <c r="S200" s="82"/>
      <c r="T200" s="83"/>
      <c r="U200" s="83"/>
      <c r="V200" s="83"/>
      <c r="W200" s="83"/>
      <c r="X200" s="84"/>
      <c r="Y200" s="84"/>
    </row>
    <row r="201" spans="2:25" s="74" customFormat="1">
      <c r="B201" s="140" t="str">
        <f t="shared" si="57"/>
        <v>PV-05</v>
      </c>
      <c r="C201" s="140" t="str">
        <f t="shared" si="57"/>
        <v>PV-06</v>
      </c>
      <c r="D201" s="135">
        <f t="shared" si="57"/>
        <v>28.52</v>
      </c>
      <c r="E201" s="135">
        <f t="shared" si="58"/>
        <v>0.32400000000000001</v>
      </c>
      <c r="F201" s="135">
        <f t="shared" si="59"/>
        <v>1</v>
      </c>
      <c r="G201" s="135">
        <f t="shared" si="62"/>
        <v>32.773948003851565</v>
      </c>
      <c r="H201" s="132">
        <v>0.1</v>
      </c>
      <c r="I201" s="156">
        <v>11000</v>
      </c>
      <c r="J201" s="52">
        <v>1.1718999999999999</v>
      </c>
      <c r="K201" s="140">
        <f t="shared" si="63"/>
        <v>12890.9</v>
      </c>
      <c r="L201" s="135">
        <f t="shared" si="64"/>
        <v>0.58102098924504375</v>
      </c>
      <c r="M201" s="81"/>
      <c r="N201" s="244">
        <f t="shared" si="65"/>
        <v>2.8045454545454547</v>
      </c>
      <c r="O201" s="244">
        <f t="shared" si="66"/>
        <v>3.0864197530864197</v>
      </c>
      <c r="P201" s="82"/>
      <c r="Q201" s="82"/>
      <c r="R201" s="83"/>
      <c r="S201" s="82"/>
      <c r="T201" s="83"/>
      <c r="U201" s="83"/>
      <c r="V201" s="83"/>
      <c r="W201" s="83"/>
      <c r="X201" s="84"/>
      <c r="Y201" s="84"/>
    </row>
    <row r="202" spans="2:25" s="74" customFormat="1">
      <c r="B202" s="140" t="str">
        <f t="shared" si="57"/>
        <v>PV-06</v>
      </c>
      <c r="C202" s="140">
        <f t="shared" si="57"/>
        <v>79268</v>
      </c>
      <c r="D202" s="135">
        <f t="shared" si="57"/>
        <v>9.8000000000000007</v>
      </c>
      <c r="E202" s="135">
        <f t="shared" si="58"/>
        <v>0.32400000000000001</v>
      </c>
      <c r="F202" s="135">
        <f t="shared" si="59"/>
        <v>1</v>
      </c>
      <c r="G202" s="135">
        <f t="shared" si="62"/>
        <v>34.587267811521869</v>
      </c>
      <c r="H202" s="132">
        <v>0.1</v>
      </c>
      <c r="I202" s="156">
        <v>11000</v>
      </c>
      <c r="J202" s="52">
        <v>1.1718999999999999</v>
      </c>
      <c r="K202" s="140">
        <f t="shared" si="63"/>
        <v>12890.9</v>
      </c>
      <c r="L202" s="135">
        <f t="shared" si="64"/>
        <v>0.61316776839860865</v>
      </c>
      <c r="M202" s="81"/>
      <c r="N202" s="244">
        <f t="shared" si="65"/>
        <v>2.8045454545454547</v>
      </c>
      <c r="O202" s="244">
        <f t="shared" si="66"/>
        <v>3.0864197530864197</v>
      </c>
      <c r="P202" s="82"/>
      <c r="Q202" s="82"/>
      <c r="R202" s="83"/>
      <c r="S202" s="82"/>
      <c r="T202" s="83"/>
      <c r="U202" s="83"/>
      <c r="V202" s="83"/>
      <c r="W202" s="83"/>
      <c r="X202" s="84"/>
      <c r="Y202" s="84"/>
    </row>
    <row r="203" spans="2:25" s="74" customFormat="1">
      <c r="B203" s="280" t="str">
        <f t="shared" ref="B203" si="67">+B126</f>
        <v>SUMIDEROS</v>
      </c>
      <c r="C203" s="281"/>
      <c r="D203" s="281"/>
      <c r="E203" s="281"/>
      <c r="F203" s="281"/>
      <c r="G203" s="281"/>
      <c r="H203" s="281"/>
      <c r="I203" s="281"/>
      <c r="J203" s="281"/>
      <c r="K203" s="281"/>
      <c r="L203" s="282"/>
      <c r="M203" s="81"/>
      <c r="N203" s="81"/>
      <c r="O203" s="81"/>
      <c r="P203" s="82"/>
      <c r="Q203" s="82"/>
      <c r="R203" s="83"/>
      <c r="S203" s="82"/>
      <c r="T203" s="83"/>
      <c r="U203" s="83"/>
      <c r="V203" s="83"/>
      <c r="W203" s="83"/>
      <c r="X203" s="84"/>
      <c r="Y203" s="84"/>
    </row>
    <row r="204" spans="2:25" s="74" customFormat="1">
      <c r="B204" s="140" t="str">
        <f t="shared" ref="B204:D204" si="68">+B127</f>
        <v>S31</v>
      </c>
      <c r="C204" s="140">
        <f t="shared" si="68"/>
        <v>77724</v>
      </c>
      <c r="D204" s="135">
        <f t="shared" si="68"/>
        <v>7.7</v>
      </c>
      <c r="E204" s="135">
        <f t="shared" ref="E204:E220" si="69">+F127</f>
        <v>0.2732</v>
      </c>
      <c r="F204" s="135">
        <f t="shared" ref="F204:F220" si="70">+H127</f>
        <v>1</v>
      </c>
      <c r="G204" s="135">
        <f t="shared" ref="G204:G220" si="71">K65+L127</f>
        <v>36.132085065600947</v>
      </c>
      <c r="H204" s="132">
        <v>0.1</v>
      </c>
      <c r="I204" s="156">
        <v>11000</v>
      </c>
      <c r="J204" s="52">
        <v>1.1206</v>
      </c>
      <c r="K204" s="140">
        <f t="shared" ref="K204:K220" si="72">I204*J204</f>
        <v>12326.6</v>
      </c>
      <c r="L204" s="135">
        <f>(($D$173*H204*G204)/(IF(E204&lt;=0.5,$D$175,$D$177)+(0.061*K204)))*100</f>
        <v>0.66771923946047329</v>
      </c>
      <c r="M204" s="81"/>
      <c r="N204" s="243">
        <f t="shared" ref="N204:N220" si="73">$D$178/I204</f>
        <v>2.8045454545454547</v>
      </c>
      <c r="O204" s="243">
        <f t="shared" ref="O204:O220" si="74">F204/E204</f>
        <v>3.6603221083455346</v>
      </c>
      <c r="P204" s="82"/>
      <c r="Q204" s="82"/>
      <c r="R204" s="83"/>
      <c r="S204" s="82"/>
      <c r="T204" s="83"/>
      <c r="U204" s="83"/>
      <c r="V204" s="83"/>
      <c r="W204" s="83"/>
      <c r="X204" s="84"/>
      <c r="Y204" s="84"/>
    </row>
    <row r="205" spans="2:25" s="74" customFormat="1">
      <c r="B205" s="140" t="str">
        <f t="shared" ref="B205:D205" si="75">+B128</f>
        <v>S32</v>
      </c>
      <c r="C205" s="140">
        <f t="shared" si="75"/>
        <v>77724</v>
      </c>
      <c r="D205" s="135">
        <f t="shared" si="75"/>
        <v>9</v>
      </c>
      <c r="E205" s="135">
        <f t="shared" si="69"/>
        <v>0.2732</v>
      </c>
      <c r="F205" s="135">
        <f t="shared" si="70"/>
        <v>1</v>
      </c>
      <c r="G205" s="135">
        <f t="shared" si="71"/>
        <v>36.132085065600947</v>
      </c>
      <c r="H205" s="132">
        <v>0.1</v>
      </c>
      <c r="I205" s="156">
        <v>11000</v>
      </c>
      <c r="J205" s="52">
        <v>1.1206</v>
      </c>
      <c r="K205" s="140">
        <f t="shared" si="72"/>
        <v>12326.6</v>
      </c>
      <c r="L205" s="135">
        <f t="shared" ref="L205:L220" si="76">(($D$173*H205*G205)/(IF(E205&lt;=0.5,$D$175,$D$177)+(0.061*K205)))*100</f>
        <v>0.66771923946047329</v>
      </c>
      <c r="M205" s="81"/>
      <c r="N205" s="243">
        <f t="shared" si="73"/>
        <v>2.8045454545454547</v>
      </c>
      <c r="O205" s="243">
        <f t="shared" si="74"/>
        <v>3.6603221083455346</v>
      </c>
      <c r="P205" s="82"/>
      <c r="Q205" s="82"/>
      <c r="R205" s="83"/>
      <c r="S205" s="82"/>
      <c r="T205" s="83"/>
      <c r="U205" s="83"/>
      <c r="V205" s="83"/>
      <c r="W205" s="83"/>
      <c r="X205" s="84"/>
      <c r="Y205" s="84"/>
    </row>
    <row r="206" spans="2:25" s="74" customFormat="1">
      <c r="B206" s="140" t="str">
        <f t="shared" ref="B206:D206" si="77">+B129</f>
        <v>S33</v>
      </c>
      <c r="C206" s="140">
        <f t="shared" si="77"/>
        <v>125889</v>
      </c>
      <c r="D206" s="135">
        <f t="shared" si="77"/>
        <v>1.5</v>
      </c>
      <c r="E206" s="135">
        <f t="shared" si="69"/>
        <v>0.2732</v>
      </c>
      <c r="F206" s="135">
        <f t="shared" si="70"/>
        <v>1</v>
      </c>
      <c r="G206" s="135">
        <f t="shared" si="71"/>
        <v>34.50281686880782</v>
      </c>
      <c r="H206" s="132">
        <v>0.1</v>
      </c>
      <c r="I206" s="156">
        <v>11000</v>
      </c>
      <c r="J206" s="52">
        <v>1.1206</v>
      </c>
      <c r="K206" s="140">
        <f t="shared" si="72"/>
        <v>12326.6</v>
      </c>
      <c r="L206" s="135">
        <f t="shared" si="76"/>
        <v>0.63761043950429364</v>
      </c>
      <c r="M206" s="81"/>
      <c r="N206" s="243">
        <f t="shared" si="73"/>
        <v>2.8045454545454547</v>
      </c>
      <c r="O206" s="243">
        <f t="shared" si="74"/>
        <v>3.6603221083455346</v>
      </c>
      <c r="P206" s="82"/>
      <c r="Q206" s="82"/>
      <c r="R206" s="83"/>
      <c r="S206" s="82"/>
      <c r="T206" s="83"/>
      <c r="U206" s="83"/>
      <c r="V206" s="83"/>
      <c r="W206" s="83"/>
      <c r="X206" s="84"/>
      <c r="Y206" s="84"/>
    </row>
    <row r="207" spans="2:25" s="74" customFormat="1">
      <c r="B207" s="140" t="str">
        <f t="shared" ref="B207:D207" si="78">+B130</f>
        <v>S34</v>
      </c>
      <c r="C207" s="140">
        <f t="shared" si="78"/>
        <v>125889</v>
      </c>
      <c r="D207" s="135">
        <f t="shared" si="78"/>
        <v>2.4</v>
      </c>
      <c r="E207" s="135">
        <f t="shared" si="69"/>
        <v>0.2732</v>
      </c>
      <c r="F207" s="135">
        <f t="shared" si="70"/>
        <v>1</v>
      </c>
      <c r="G207" s="135">
        <f t="shared" si="71"/>
        <v>34.263968717135519</v>
      </c>
      <c r="H207" s="132">
        <v>0.1</v>
      </c>
      <c r="I207" s="156">
        <v>11000</v>
      </c>
      <c r="J207" s="52">
        <v>1.1206</v>
      </c>
      <c r="K207" s="140">
        <f t="shared" si="72"/>
        <v>12326.6</v>
      </c>
      <c r="L207" s="135">
        <f t="shared" si="76"/>
        <v>0.63319653684986299</v>
      </c>
      <c r="M207" s="81"/>
      <c r="N207" s="243">
        <f t="shared" si="73"/>
        <v>2.8045454545454547</v>
      </c>
      <c r="O207" s="243">
        <f t="shared" si="74"/>
        <v>3.6603221083455346</v>
      </c>
      <c r="P207" s="82"/>
      <c r="Q207" s="82"/>
      <c r="R207" s="83"/>
      <c r="S207" s="82"/>
      <c r="T207" s="83"/>
      <c r="U207" s="83"/>
      <c r="V207" s="83"/>
      <c r="W207" s="83"/>
      <c r="X207" s="84"/>
      <c r="Y207" s="84"/>
    </row>
    <row r="208" spans="2:25" s="74" customFormat="1">
      <c r="B208" s="140" t="str">
        <f t="shared" ref="B208:D208" si="79">+B131</f>
        <v>S35</v>
      </c>
      <c r="C208" s="140">
        <f t="shared" si="79"/>
        <v>125890</v>
      </c>
      <c r="D208" s="135">
        <f t="shared" si="79"/>
        <v>16.600000000000001</v>
      </c>
      <c r="E208" s="135">
        <f t="shared" si="69"/>
        <v>0.2732</v>
      </c>
      <c r="F208" s="135">
        <f t="shared" si="70"/>
        <v>1</v>
      </c>
      <c r="G208" s="135">
        <f t="shared" si="71"/>
        <v>34.50281686880782</v>
      </c>
      <c r="H208" s="132">
        <v>0.1</v>
      </c>
      <c r="I208" s="156">
        <v>11000</v>
      </c>
      <c r="J208" s="52">
        <v>1.1206</v>
      </c>
      <c r="K208" s="140">
        <f t="shared" si="72"/>
        <v>12326.6</v>
      </c>
      <c r="L208" s="135">
        <f t="shared" si="76"/>
        <v>0.63761043950429364</v>
      </c>
      <c r="M208" s="81"/>
      <c r="N208" s="243">
        <f t="shared" si="73"/>
        <v>2.8045454545454547</v>
      </c>
      <c r="O208" s="243">
        <f t="shared" si="74"/>
        <v>3.6603221083455346</v>
      </c>
      <c r="P208" s="82"/>
      <c r="Q208" s="82"/>
      <c r="R208" s="83"/>
      <c r="S208" s="82"/>
      <c r="T208" s="83"/>
      <c r="U208" s="83"/>
      <c r="V208" s="83"/>
      <c r="W208" s="83"/>
      <c r="X208" s="84"/>
      <c r="Y208" s="84"/>
    </row>
    <row r="209" spans="1:34" s="74" customFormat="1">
      <c r="B209" s="140" t="str">
        <f t="shared" ref="B209:D209" si="80">+B132</f>
        <v>S36</v>
      </c>
      <c r="C209" s="140">
        <f t="shared" si="80"/>
        <v>125890</v>
      </c>
      <c r="D209" s="135">
        <f t="shared" si="80"/>
        <v>15.8</v>
      </c>
      <c r="E209" s="135">
        <f t="shared" si="69"/>
        <v>0.2732</v>
      </c>
      <c r="F209" s="135">
        <f t="shared" si="70"/>
        <v>1</v>
      </c>
      <c r="G209" s="135">
        <f t="shared" si="71"/>
        <v>34.263968717135519</v>
      </c>
      <c r="H209" s="132">
        <v>0.1</v>
      </c>
      <c r="I209" s="156">
        <v>11000</v>
      </c>
      <c r="J209" s="52">
        <v>1.1206</v>
      </c>
      <c r="K209" s="140">
        <f t="shared" si="72"/>
        <v>12326.6</v>
      </c>
      <c r="L209" s="135">
        <f t="shared" si="76"/>
        <v>0.63319653684986299</v>
      </c>
      <c r="M209" s="81"/>
      <c r="N209" s="243">
        <f t="shared" si="73"/>
        <v>2.8045454545454547</v>
      </c>
      <c r="O209" s="243">
        <f t="shared" si="74"/>
        <v>3.6603221083455346</v>
      </c>
      <c r="P209" s="82"/>
      <c r="Q209" s="82"/>
      <c r="R209" s="83"/>
      <c r="S209" s="82"/>
      <c r="T209" s="83"/>
      <c r="U209" s="83"/>
      <c r="V209" s="83"/>
      <c r="W209" s="83"/>
      <c r="X209" s="84"/>
      <c r="Y209" s="84"/>
    </row>
    <row r="210" spans="1:34" s="74" customFormat="1">
      <c r="B210" s="140" t="str">
        <f t="shared" ref="B210:D210" si="81">+B133</f>
        <v>S37</v>
      </c>
      <c r="C210" s="140">
        <f t="shared" si="81"/>
        <v>77724</v>
      </c>
      <c r="D210" s="135">
        <f t="shared" si="81"/>
        <v>9.6999999999999993</v>
      </c>
      <c r="E210" s="135">
        <f t="shared" si="69"/>
        <v>0.2732</v>
      </c>
      <c r="F210" s="135">
        <f t="shared" si="70"/>
        <v>1</v>
      </c>
      <c r="G210" s="135">
        <f t="shared" si="71"/>
        <v>36.132085065600947</v>
      </c>
      <c r="H210" s="132">
        <v>0.1</v>
      </c>
      <c r="I210" s="156">
        <v>11000</v>
      </c>
      <c r="J210" s="52">
        <v>1.1206</v>
      </c>
      <c r="K210" s="140">
        <f t="shared" si="72"/>
        <v>12326.6</v>
      </c>
      <c r="L210" s="135">
        <f t="shared" si="76"/>
        <v>0.66771923946047329</v>
      </c>
      <c r="M210" s="81"/>
      <c r="N210" s="243">
        <f t="shared" si="73"/>
        <v>2.8045454545454547</v>
      </c>
      <c r="O210" s="243">
        <f t="shared" si="74"/>
        <v>3.6603221083455346</v>
      </c>
      <c r="P210" s="82"/>
      <c r="Q210" s="82"/>
      <c r="R210" s="83"/>
      <c r="S210" s="82"/>
      <c r="T210" s="83"/>
      <c r="U210" s="83"/>
      <c r="V210" s="83"/>
      <c r="W210" s="83"/>
      <c r="X210" s="84"/>
      <c r="Y210" s="84"/>
    </row>
    <row r="211" spans="1:34" s="74" customFormat="1">
      <c r="B211" s="140" t="str">
        <f t="shared" ref="B211:D211" si="82">+B134</f>
        <v>S38</v>
      </c>
      <c r="C211" s="140">
        <f t="shared" si="82"/>
        <v>77975</v>
      </c>
      <c r="D211" s="135">
        <f t="shared" si="82"/>
        <v>6.7</v>
      </c>
      <c r="E211" s="135">
        <f t="shared" si="69"/>
        <v>0.2732</v>
      </c>
      <c r="F211" s="135">
        <f t="shared" si="70"/>
        <v>1</v>
      </c>
      <c r="G211" s="135">
        <f t="shared" si="71"/>
        <v>31.348387571242249</v>
      </c>
      <c r="H211" s="132">
        <v>0.1</v>
      </c>
      <c r="I211" s="156">
        <v>11000</v>
      </c>
      <c r="J211" s="52">
        <v>1.1206</v>
      </c>
      <c r="K211" s="140">
        <f t="shared" si="72"/>
        <v>12326.6</v>
      </c>
      <c r="L211" s="135">
        <f t="shared" si="76"/>
        <v>0.5793167338496602</v>
      </c>
      <c r="M211" s="81"/>
      <c r="N211" s="243">
        <f t="shared" si="73"/>
        <v>2.8045454545454547</v>
      </c>
      <c r="O211" s="243">
        <f t="shared" si="74"/>
        <v>3.6603221083455346</v>
      </c>
      <c r="P211" s="82"/>
      <c r="Q211" s="82"/>
      <c r="R211" s="83"/>
      <c r="S211" s="82"/>
      <c r="T211" s="83"/>
      <c r="U211" s="83"/>
      <c r="V211" s="83"/>
      <c r="W211" s="83"/>
      <c r="X211" s="84"/>
      <c r="Y211" s="84"/>
    </row>
    <row r="212" spans="1:34" s="74" customFormat="1">
      <c r="B212" s="140" t="str">
        <f t="shared" ref="B212:D212" si="83">+B135</f>
        <v>S39</v>
      </c>
      <c r="C212" s="140">
        <f t="shared" si="83"/>
        <v>78120</v>
      </c>
      <c r="D212" s="135">
        <f t="shared" si="83"/>
        <v>8</v>
      </c>
      <c r="E212" s="135">
        <f t="shared" si="69"/>
        <v>0.2732</v>
      </c>
      <c r="F212" s="135">
        <f t="shared" si="70"/>
        <v>1</v>
      </c>
      <c r="G212" s="135">
        <f t="shared" si="71"/>
        <v>35.982354859628913</v>
      </c>
      <c r="H212" s="132">
        <v>0.1</v>
      </c>
      <c r="I212" s="156">
        <v>11000</v>
      </c>
      <c r="J212" s="52">
        <v>1.1206</v>
      </c>
      <c r="K212" s="140">
        <f t="shared" si="72"/>
        <v>12326.6</v>
      </c>
      <c r="L212" s="135">
        <f t="shared" si="76"/>
        <v>0.66495223226799083</v>
      </c>
      <c r="M212" s="81"/>
      <c r="N212" s="243">
        <f t="shared" si="73"/>
        <v>2.8045454545454547</v>
      </c>
      <c r="O212" s="243">
        <f t="shared" si="74"/>
        <v>3.6603221083455346</v>
      </c>
      <c r="P212" s="82"/>
      <c r="Q212" s="82"/>
      <c r="R212" s="83"/>
      <c r="S212" s="82"/>
      <c r="T212" s="83"/>
      <c r="U212" s="83"/>
      <c r="V212" s="83"/>
      <c r="W212" s="83"/>
      <c r="X212" s="84"/>
      <c r="Y212" s="84"/>
    </row>
    <row r="213" spans="1:34" s="74" customFormat="1">
      <c r="B213" s="140" t="str">
        <f t="shared" ref="B213:D213" si="84">+B136</f>
        <v>S46</v>
      </c>
      <c r="C213" s="140" t="str">
        <f t="shared" si="84"/>
        <v>PV-03</v>
      </c>
      <c r="D213" s="135">
        <f t="shared" si="84"/>
        <v>1.5</v>
      </c>
      <c r="E213" s="135">
        <f t="shared" si="69"/>
        <v>0.2732</v>
      </c>
      <c r="F213" s="135">
        <f t="shared" si="70"/>
        <v>1</v>
      </c>
      <c r="G213" s="135">
        <f t="shared" si="71"/>
        <v>30.157049610350654</v>
      </c>
      <c r="H213" s="132">
        <v>0.1</v>
      </c>
      <c r="I213" s="156">
        <v>11000</v>
      </c>
      <c r="J213" s="52">
        <v>1.1206</v>
      </c>
      <c r="K213" s="140">
        <f t="shared" si="72"/>
        <v>12326.6</v>
      </c>
      <c r="L213" s="135">
        <f t="shared" si="76"/>
        <v>0.55730086413877411</v>
      </c>
      <c r="M213" s="81"/>
      <c r="N213" s="243">
        <f t="shared" si="73"/>
        <v>2.8045454545454547</v>
      </c>
      <c r="O213" s="243">
        <f t="shared" si="74"/>
        <v>3.6603221083455346</v>
      </c>
      <c r="P213" s="82"/>
      <c r="Q213" s="82"/>
      <c r="R213" s="83"/>
      <c r="S213" s="82"/>
      <c r="T213" s="83"/>
      <c r="U213" s="83"/>
      <c r="V213" s="83"/>
      <c r="W213" s="83"/>
      <c r="X213" s="84"/>
      <c r="Y213" s="84"/>
    </row>
    <row r="214" spans="1:34" s="74" customFormat="1">
      <c r="B214" s="140" t="str">
        <f t="shared" ref="B214:D214" si="85">+B137</f>
        <v>S47</v>
      </c>
      <c r="C214" s="140" t="str">
        <f t="shared" si="85"/>
        <v>PV-03</v>
      </c>
      <c r="D214" s="135">
        <f t="shared" si="85"/>
        <v>2</v>
      </c>
      <c r="E214" s="135">
        <f t="shared" si="69"/>
        <v>0.2732</v>
      </c>
      <c r="F214" s="135">
        <f t="shared" si="70"/>
        <v>1</v>
      </c>
      <c r="G214" s="135">
        <f t="shared" si="71"/>
        <v>30.157049610350654</v>
      </c>
      <c r="H214" s="132">
        <v>0.1</v>
      </c>
      <c r="I214" s="156">
        <v>11000</v>
      </c>
      <c r="J214" s="52">
        <v>1.1206</v>
      </c>
      <c r="K214" s="140">
        <f t="shared" si="72"/>
        <v>12326.6</v>
      </c>
      <c r="L214" s="135">
        <f t="shared" si="76"/>
        <v>0.55730086413877411</v>
      </c>
      <c r="M214" s="81"/>
      <c r="N214" s="243">
        <f t="shared" si="73"/>
        <v>2.8045454545454547</v>
      </c>
      <c r="O214" s="243">
        <f t="shared" si="74"/>
        <v>3.6603221083455346</v>
      </c>
      <c r="P214" s="82"/>
      <c r="Q214" s="82"/>
      <c r="R214" s="83"/>
      <c r="S214" s="82"/>
      <c r="T214" s="83"/>
      <c r="U214" s="83"/>
      <c r="V214" s="83"/>
      <c r="W214" s="83"/>
      <c r="X214" s="84"/>
      <c r="Y214" s="84"/>
    </row>
    <row r="215" spans="1:34" s="74" customFormat="1">
      <c r="B215" s="140" t="str">
        <f t="shared" ref="B215:D215" si="86">+B138</f>
        <v>S48</v>
      </c>
      <c r="C215" s="140">
        <f t="shared" si="86"/>
        <v>78745</v>
      </c>
      <c r="D215" s="135">
        <f t="shared" si="86"/>
        <v>11.7</v>
      </c>
      <c r="E215" s="135">
        <f t="shared" si="69"/>
        <v>0.2732</v>
      </c>
      <c r="F215" s="135">
        <f t="shared" si="70"/>
        <v>1</v>
      </c>
      <c r="G215" s="135">
        <f t="shared" si="71"/>
        <v>34.263968717135519</v>
      </c>
      <c r="H215" s="132">
        <v>0.1</v>
      </c>
      <c r="I215" s="156">
        <v>11000</v>
      </c>
      <c r="J215" s="52">
        <v>1.1206</v>
      </c>
      <c r="K215" s="140">
        <f t="shared" si="72"/>
        <v>12326.6</v>
      </c>
      <c r="L215" s="135">
        <f t="shared" si="76"/>
        <v>0.63319653684986299</v>
      </c>
      <c r="M215" s="81"/>
      <c r="N215" s="243">
        <f t="shared" si="73"/>
        <v>2.8045454545454547</v>
      </c>
      <c r="O215" s="243">
        <f t="shared" si="74"/>
        <v>3.6603221083455346</v>
      </c>
      <c r="P215" s="82"/>
      <c r="Q215" s="82"/>
      <c r="R215" s="83"/>
      <c r="S215" s="82"/>
      <c r="T215" s="83"/>
      <c r="U215" s="83"/>
      <c r="V215" s="83"/>
      <c r="W215" s="83"/>
      <c r="X215" s="84"/>
      <c r="Y215" s="84"/>
    </row>
    <row r="216" spans="1:34" s="74" customFormat="1">
      <c r="B216" s="140" t="str">
        <f t="shared" ref="B216:D216" si="87">+B139</f>
        <v>S49</v>
      </c>
      <c r="C216" s="140">
        <f t="shared" si="87"/>
        <v>78745</v>
      </c>
      <c r="D216" s="135">
        <f t="shared" si="87"/>
        <v>12.1</v>
      </c>
      <c r="E216" s="135">
        <f t="shared" si="69"/>
        <v>0.2732</v>
      </c>
      <c r="F216" s="135">
        <f t="shared" si="70"/>
        <v>1</v>
      </c>
      <c r="G216" s="135">
        <f t="shared" si="71"/>
        <v>33.921419352907272</v>
      </c>
      <c r="H216" s="132">
        <v>0.1</v>
      </c>
      <c r="I216" s="156">
        <v>11000</v>
      </c>
      <c r="J216" s="52">
        <v>1.1206</v>
      </c>
      <c r="K216" s="140">
        <f t="shared" si="72"/>
        <v>12326.6</v>
      </c>
      <c r="L216" s="135">
        <f t="shared" si="76"/>
        <v>0.62686624064512197</v>
      </c>
      <c r="M216" s="81"/>
      <c r="N216" s="243">
        <f t="shared" si="73"/>
        <v>2.8045454545454547</v>
      </c>
      <c r="O216" s="243">
        <f t="shared" si="74"/>
        <v>3.6603221083455346</v>
      </c>
      <c r="P216" s="82"/>
      <c r="Q216" s="82"/>
      <c r="R216" s="83"/>
      <c r="S216" s="82"/>
      <c r="T216" s="83"/>
      <c r="U216" s="83"/>
      <c r="V216" s="83"/>
      <c r="W216" s="83"/>
      <c r="X216" s="84"/>
      <c r="Y216" s="84"/>
    </row>
    <row r="217" spans="1:34" s="74" customFormat="1">
      <c r="B217" s="140" t="str">
        <f t="shared" ref="B217:D217" si="88">+B140</f>
        <v>S50</v>
      </c>
      <c r="C217" s="140">
        <f t="shared" si="88"/>
        <v>77970</v>
      </c>
      <c r="D217" s="135">
        <f t="shared" si="88"/>
        <v>7.3</v>
      </c>
      <c r="E217" s="135">
        <f t="shared" si="69"/>
        <v>0.2732</v>
      </c>
      <c r="F217" s="135">
        <f t="shared" si="70"/>
        <v>1</v>
      </c>
      <c r="G217" s="135">
        <f t="shared" si="71"/>
        <v>34.382318730640058</v>
      </c>
      <c r="H217" s="132">
        <v>0.1</v>
      </c>
      <c r="I217" s="156">
        <v>11000</v>
      </c>
      <c r="J217" s="52">
        <v>1.1206</v>
      </c>
      <c r="K217" s="140">
        <f t="shared" si="72"/>
        <v>12326.6</v>
      </c>
      <c r="L217" s="135">
        <f t="shared" si="76"/>
        <v>0.63538363955550292</v>
      </c>
      <c r="M217" s="81"/>
      <c r="N217" s="243">
        <f t="shared" si="73"/>
        <v>2.8045454545454547</v>
      </c>
      <c r="O217" s="243">
        <f t="shared" si="74"/>
        <v>3.6603221083455346</v>
      </c>
      <c r="P217" s="82"/>
      <c r="Q217" s="82"/>
      <c r="R217" s="83"/>
      <c r="S217" s="82"/>
      <c r="T217" s="83"/>
      <c r="U217" s="83"/>
      <c r="V217" s="83"/>
      <c r="W217" s="83"/>
      <c r="X217" s="84"/>
      <c r="Y217" s="84"/>
    </row>
    <row r="218" spans="1:34" s="74" customFormat="1">
      <c r="B218" s="140" t="str">
        <f t="shared" ref="B218:D218" si="89">+B141</f>
        <v>S51</v>
      </c>
      <c r="C218" s="140">
        <f t="shared" si="89"/>
        <v>77970</v>
      </c>
      <c r="D218" s="135">
        <f t="shared" si="89"/>
        <v>2.8</v>
      </c>
      <c r="E218" s="135">
        <f t="shared" si="69"/>
        <v>0.2732</v>
      </c>
      <c r="F218" s="135">
        <f t="shared" si="70"/>
        <v>1</v>
      </c>
      <c r="G218" s="135">
        <f t="shared" si="71"/>
        <v>35.007111286393858</v>
      </c>
      <c r="H218" s="132">
        <v>0.1</v>
      </c>
      <c r="I218" s="156">
        <v>11000</v>
      </c>
      <c r="J218" s="52">
        <v>1.1206</v>
      </c>
      <c r="K218" s="140">
        <f t="shared" si="72"/>
        <v>12326.6</v>
      </c>
      <c r="L218" s="135">
        <f t="shared" si="76"/>
        <v>0.64692977671838892</v>
      </c>
      <c r="M218" s="81"/>
      <c r="N218" s="243">
        <f t="shared" si="73"/>
        <v>2.8045454545454547</v>
      </c>
      <c r="O218" s="243">
        <f t="shared" si="74"/>
        <v>3.6603221083455346</v>
      </c>
      <c r="P218" s="82"/>
      <c r="Q218" s="82"/>
      <c r="R218" s="83"/>
      <c r="S218" s="82"/>
      <c r="T218" s="83"/>
      <c r="U218" s="83"/>
      <c r="V218" s="83"/>
      <c r="W218" s="83"/>
      <c r="X218" s="84"/>
      <c r="Y218" s="84"/>
    </row>
    <row r="219" spans="1:34" s="74" customFormat="1">
      <c r="B219" s="140" t="str">
        <f t="shared" ref="B219:D219" si="90">+B142</f>
        <v>S52</v>
      </c>
      <c r="C219" s="140">
        <f t="shared" si="90"/>
        <v>77970</v>
      </c>
      <c r="D219" s="135">
        <f t="shared" si="90"/>
        <v>9.6999999999999993</v>
      </c>
      <c r="E219" s="135">
        <f t="shared" si="69"/>
        <v>0.2732</v>
      </c>
      <c r="F219" s="135">
        <f t="shared" si="70"/>
        <v>1</v>
      </c>
      <c r="G219" s="135">
        <f t="shared" si="71"/>
        <v>31.160913917455488</v>
      </c>
      <c r="H219" s="132">
        <v>0.1</v>
      </c>
      <c r="I219" s="156">
        <v>11000</v>
      </c>
      <c r="J219" s="52">
        <v>1.1206</v>
      </c>
      <c r="K219" s="140">
        <f t="shared" si="72"/>
        <v>12326.6</v>
      </c>
      <c r="L219" s="135">
        <f t="shared" si="76"/>
        <v>0.57585222950959525</v>
      </c>
      <c r="M219" s="81"/>
      <c r="N219" s="243">
        <f t="shared" si="73"/>
        <v>2.8045454545454547</v>
      </c>
      <c r="O219" s="243">
        <f t="shared" si="74"/>
        <v>3.6603221083455346</v>
      </c>
      <c r="P219" s="82"/>
      <c r="Q219" s="82"/>
      <c r="R219" s="83"/>
      <c r="S219" s="82"/>
      <c r="T219" s="83"/>
      <c r="U219" s="83"/>
      <c r="V219" s="83"/>
      <c r="W219" s="83"/>
      <c r="X219" s="84"/>
      <c r="Y219" s="84"/>
    </row>
    <row r="220" spans="1:34" s="74" customFormat="1">
      <c r="B220" s="140" t="str">
        <f t="shared" ref="B220:D220" si="91">+B143</f>
        <v>S53</v>
      </c>
      <c r="C220" s="140">
        <f t="shared" si="91"/>
        <v>77970</v>
      </c>
      <c r="D220" s="135">
        <f t="shared" si="91"/>
        <v>3.6</v>
      </c>
      <c r="E220" s="135">
        <f t="shared" si="69"/>
        <v>0.2732</v>
      </c>
      <c r="F220" s="135">
        <f t="shared" si="70"/>
        <v>1</v>
      </c>
      <c r="G220" s="135">
        <f t="shared" si="71"/>
        <v>32.633145828646192</v>
      </c>
      <c r="H220" s="132">
        <v>0.1</v>
      </c>
      <c r="I220" s="156">
        <v>11000</v>
      </c>
      <c r="J220" s="52">
        <v>1.1206</v>
      </c>
      <c r="K220" s="140">
        <f t="shared" si="72"/>
        <v>12326.6</v>
      </c>
      <c r="L220" s="135">
        <f t="shared" si="76"/>
        <v>0.6030590062639648</v>
      </c>
      <c r="M220" s="81"/>
      <c r="N220" s="243">
        <f t="shared" si="73"/>
        <v>2.8045454545454547</v>
      </c>
      <c r="O220" s="243">
        <f t="shared" si="74"/>
        <v>3.6603221083455346</v>
      </c>
      <c r="P220" s="82"/>
      <c r="Q220" s="82"/>
      <c r="R220" s="83"/>
      <c r="S220" s="82"/>
      <c r="T220" s="83"/>
      <c r="U220" s="83"/>
      <c r="V220" s="83"/>
      <c r="W220" s="83"/>
      <c r="X220" s="84"/>
      <c r="Y220" s="84"/>
    </row>
    <row r="221" spans="1:34" s="74" customFormat="1" ht="11.25">
      <c r="V221" s="83"/>
      <c r="W221" s="83"/>
      <c r="Y221" s="84"/>
    </row>
    <row r="222" spans="1:34" ht="37.5" customHeight="1">
      <c r="A222" s="288" t="s">
        <v>106</v>
      </c>
      <c r="B222" s="288"/>
      <c r="C222" s="288"/>
      <c r="D222" s="288"/>
      <c r="E222" s="288"/>
      <c r="F222" s="288"/>
      <c r="G222" s="288"/>
      <c r="H222" s="288"/>
      <c r="I222" s="288"/>
      <c r="J222" s="288"/>
      <c r="K222" s="288"/>
      <c r="L222" s="288"/>
      <c r="M222" s="288"/>
      <c r="V222" s="83"/>
      <c r="W222" s="83"/>
    </row>
    <row r="223" spans="1:34">
      <c r="V223" s="83"/>
      <c r="W223" s="83"/>
    </row>
    <row r="224" spans="1:34">
      <c r="A224" s="19" t="s">
        <v>60</v>
      </c>
      <c r="O224" s="301" t="s">
        <v>351</v>
      </c>
      <c r="P224" s="301"/>
      <c r="Q224" s="301"/>
      <c r="R224" s="301"/>
      <c r="S224" s="301"/>
      <c r="T224" s="301"/>
      <c r="V224" s="301" t="s">
        <v>353</v>
      </c>
      <c r="W224" s="301"/>
      <c r="X224" s="301"/>
      <c r="Y224" s="301"/>
      <c r="Z224" s="301"/>
      <c r="AA224" s="301"/>
      <c r="AC224" s="301" t="s">
        <v>352</v>
      </c>
      <c r="AD224" s="301"/>
      <c r="AE224" s="301"/>
      <c r="AF224" s="301"/>
      <c r="AG224" s="301"/>
      <c r="AH224" s="301"/>
    </row>
    <row r="225" spans="1:34">
      <c r="O225" s="198" t="s">
        <v>50</v>
      </c>
      <c r="P225" s="198" t="s">
        <v>47</v>
      </c>
      <c r="Q225" s="235" t="s">
        <v>50</v>
      </c>
      <c r="R225" s="235" t="s">
        <v>47</v>
      </c>
      <c r="S225" s="235" t="s">
        <v>51</v>
      </c>
      <c r="T225" s="235" t="s">
        <v>47</v>
      </c>
      <c r="V225" s="198" t="s">
        <v>50</v>
      </c>
      <c r="W225" s="198" t="s">
        <v>47</v>
      </c>
      <c r="X225" s="235" t="s">
        <v>50</v>
      </c>
      <c r="Y225" s="235" t="s">
        <v>47</v>
      </c>
      <c r="Z225" s="235" t="s">
        <v>51</v>
      </c>
      <c r="AA225" s="235" t="s">
        <v>47</v>
      </c>
      <c r="AC225" s="198" t="s">
        <v>50</v>
      </c>
      <c r="AD225" s="198" t="s">
        <v>47</v>
      </c>
      <c r="AE225" s="235" t="s">
        <v>50</v>
      </c>
      <c r="AF225" s="235" t="s">
        <v>47</v>
      </c>
      <c r="AG225" s="235" t="s">
        <v>51</v>
      </c>
      <c r="AH225" s="235" t="s">
        <v>47</v>
      </c>
    </row>
    <row r="226" spans="1:34">
      <c r="A226" s="298" t="s">
        <v>115</v>
      </c>
      <c r="B226" s="298"/>
      <c r="C226" s="298"/>
      <c r="D226" s="298"/>
      <c r="E226" s="298"/>
      <c r="F226" s="298"/>
      <c r="G226" s="298"/>
      <c r="H226" s="298"/>
      <c r="I226" s="298"/>
      <c r="J226" s="298"/>
      <c r="K226" s="298"/>
      <c r="L226" s="298"/>
      <c r="M226" s="298"/>
      <c r="O226" s="235">
        <v>2</v>
      </c>
      <c r="P226" s="235">
        <v>1.1000000000000001</v>
      </c>
      <c r="Q226" s="235">
        <f>+O226</f>
        <v>2</v>
      </c>
      <c r="R226" s="235">
        <v>1.05</v>
      </c>
      <c r="S226" s="235">
        <v>3</v>
      </c>
      <c r="T226" s="235">
        <f>+P227</f>
        <v>1.18</v>
      </c>
      <c r="V226" s="235">
        <v>2</v>
      </c>
      <c r="W226" s="235">
        <v>1.1000000000000001</v>
      </c>
      <c r="X226" s="235">
        <f>+V226</f>
        <v>2</v>
      </c>
      <c r="Y226" s="235">
        <v>1.05</v>
      </c>
      <c r="Z226" s="235">
        <v>3</v>
      </c>
      <c r="AA226" s="235">
        <f>+W227</f>
        <v>1.18</v>
      </c>
      <c r="AC226" s="235">
        <v>2</v>
      </c>
      <c r="AD226" s="235">
        <v>1.5</v>
      </c>
      <c r="AE226" s="235">
        <f>+AC226</f>
        <v>2</v>
      </c>
      <c r="AF226" s="235">
        <v>1.4</v>
      </c>
      <c r="AG226" s="235">
        <v>1.5</v>
      </c>
      <c r="AH226" s="235">
        <f>+AD227</f>
        <v>1.74</v>
      </c>
    </row>
    <row r="227" spans="1:34">
      <c r="A227" s="298"/>
      <c r="B227" s="298"/>
      <c r="C227" s="298"/>
      <c r="D227" s="298"/>
      <c r="E227" s="298"/>
      <c r="F227" s="298"/>
      <c r="G227" s="298"/>
      <c r="H227" s="298"/>
      <c r="I227" s="298"/>
      <c r="J227" s="298"/>
      <c r="K227" s="298"/>
      <c r="L227" s="298"/>
      <c r="M227" s="298"/>
      <c r="O227" s="236">
        <v>2.8</v>
      </c>
      <c r="P227" s="237">
        <v>1.18</v>
      </c>
      <c r="Q227" s="236">
        <f>+O227</f>
        <v>2.8</v>
      </c>
      <c r="R227" s="237">
        <v>1.0900000000000001</v>
      </c>
      <c r="S227" s="236">
        <v>3.66</v>
      </c>
      <c r="T227" s="238">
        <v>1.1206</v>
      </c>
      <c r="V227" s="236">
        <v>2.8</v>
      </c>
      <c r="W227" s="237">
        <v>1.18</v>
      </c>
      <c r="X227" s="236">
        <f>+V227</f>
        <v>2.8</v>
      </c>
      <c r="Y227" s="237">
        <v>1.0900000000000001</v>
      </c>
      <c r="Z227" s="236">
        <v>3.09</v>
      </c>
      <c r="AA227" s="238">
        <v>1.1718999999999999</v>
      </c>
      <c r="AC227" s="236">
        <v>2.8</v>
      </c>
      <c r="AD227" s="237">
        <v>1.74</v>
      </c>
      <c r="AE227" s="236">
        <f>+AC227</f>
        <v>2.8</v>
      </c>
      <c r="AF227" s="237">
        <v>1.6</v>
      </c>
      <c r="AG227" s="236">
        <v>1.69</v>
      </c>
      <c r="AH227" s="238">
        <v>1.6335999999999999</v>
      </c>
    </row>
    <row r="228" spans="1:34">
      <c r="O228" s="235">
        <v>3</v>
      </c>
      <c r="P228" s="235">
        <v>1.2</v>
      </c>
      <c r="Q228" s="235">
        <f>+O228</f>
        <v>3</v>
      </c>
      <c r="R228" s="235">
        <v>1.1000000000000001</v>
      </c>
      <c r="S228" s="235">
        <v>4</v>
      </c>
      <c r="T228" s="235">
        <f>+R227</f>
        <v>1.0900000000000001</v>
      </c>
      <c r="V228" s="235">
        <v>3</v>
      </c>
      <c r="W228" s="235">
        <v>1.2</v>
      </c>
      <c r="X228" s="235">
        <f>+V228</f>
        <v>3</v>
      </c>
      <c r="Y228" s="235">
        <v>1.1000000000000001</v>
      </c>
      <c r="Z228" s="235">
        <v>4</v>
      </c>
      <c r="AA228" s="235">
        <f>+Y227</f>
        <v>1.0900000000000001</v>
      </c>
      <c r="AC228" s="235">
        <v>3</v>
      </c>
      <c r="AD228" s="235">
        <v>1.8</v>
      </c>
      <c r="AE228" s="235">
        <f>+AC228</f>
        <v>3</v>
      </c>
      <c r="AF228" s="235">
        <v>1.65</v>
      </c>
      <c r="AG228" s="235">
        <v>1.75</v>
      </c>
      <c r="AH228" s="235">
        <f>+AF227</f>
        <v>1.6</v>
      </c>
    </row>
    <row r="229" spans="1:34">
      <c r="O229" s="293" t="s">
        <v>327</v>
      </c>
      <c r="P229" s="294"/>
      <c r="Q229" s="293" t="s">
        <v>328</v>
      </c>
      <c r="R229" s="294"/>
      <c r="S229" s="293"/>
      <c r="T229" s="294"/>
      <c r="V229" s="293" t="s">
        <v>348</v>
      </c>
      <c r="W229" s="294"/>
      <c r="X229" s="293" t="s">
        <v>349</v>
      </c>
      <c r="Y229" s="294"/>
      <c r="Z229" s="293"/>
      <c r="AA229" s="294"/>
      <c r="AC229" s="293" t="s">
        <v>348</v>
      </c>
      <c r="AD229" s="294"/>
      <c r="AE229" s="293" t="s">
        <v>349</v>
      </c>
      <c r="AF229" s="294"/>
      <c r="AG229" s="293"/>
      <c r="AH229" s="294"/>
    </row>
    <row r="233" spans="1:34">
      <c r="C233" s="17" t="s">
        <v>2</v>
      </c>
    </row>
    <row r="234" spans="1:34">
      <c r="C234" s="62" t="s">
        <v>61</v>
      </c>
      <c r="D234" s="17" t="s">
        <v>216</v>
      </c>
    </row>
    <row r="235" spans="1:34">
      <c r="C235" s="62"/>
      <c r="D235" s="17" t="s">
        <v>214</v>
      </c>
    </row>
    <row r="236" spans="1:34">
      <c r="C236" s="62"/>
      <c r="D236" s="17" t="s">
        <v>215</v>
      </c>
    </row>
    <row r="237" spans="1:34">
      <c r="C237" s="62" t="s">
        <v>62</v>
      </c>
      <c r="D237" s="17" t="s">
        <v>217</v>
      </c>
    </row>
    <row r="238" spans="1:34">
      <c r="C238" s="62"/>
      <c r="D238" s="17" t="s">
        <v>219</v>
      </c>
    </row>
    <row r="239" spans="1:34">
      <c r="C239" s="62"/>
      <c r="D239" s="17" t="s">
        <v>218</v>
      </c>
    </row>
    <row r="240" spans="1:34">
      <c r="C240" s="62" t="s">
        <v>63</v>
      </c>
      <c r="D240" s="17" t="s">
        <v>220</v>
      </c>
    </row>
    <row r="241" spans="2:24">
      <c r="C241" s="62" t="s">
        <v>64</v>
      </c>
      <c r="D241" s="17" t="s">
        <v>65</v>
      </c>
    </row>
    <row r="242" spans="2:24" ht="17.25" customHeight="1">
      <c r="C242" s="62"/>
      <c r="D242" s="17" t="s">
        <v>107</v>
      </c>
    </row>
    <row r="243" spans="2:24">
      <c r="C243" s="62" t="s">
        <v>66</v>
      </c>
      <c r="D243" s="17" t="s">
        <v>221</v>
      </c>
    </row>
    <row r="244" spans="2:24">
      <c r="C244" s="62"/>
      <c r="D244" s="56"/>
    </row>
    <row r="245" spans="2:24" ht="13.5">
      <c r="D245" s="48" t="s">
        <v>108</v>
      </c>
      <c r="E245" s="49"/>
      <c r="F245" s="53">
        <f>D175/8</f>
        <v>7.4709711470795206</v>
      </c>
      <c r="G245" s="123" t="str">
        <f>E175</f>
        <v>Para tuberías PVC Novafort</v>
      </c>
      <c r="H245" s="72"/>
      <c r="I245" s="60"/>
      <c r="J245" s="72"/>
    </row>
    <row r="246" spans="2:24" ht="13.5">
      <c r="D246" s="48" t="s">
        <v>108</v>
      </c>
      <c r="E246" s="49"/>
      <c r="F246" s="53">
        <f>D177/8</f>
        <v>3.6699507389162553</v>
      </c>
      <c r="G246" s="123" t="s">
        <v>44</v>
      </c>
      <c r="H246" s="72"/>
      <c r="I246" s="60"/>
      <c r="J246" s="72"/>
    </row>
    <row r="247" spans="2:24">
      <c r="D247" s="48" t="s">
        <v>67</v>
      </c>
      <c r="E247" s="49"/>
      <c r="F247" s="53">
        <v>5.03</v>
      </c>
      <c r="G247" s="72" t="s">
        <v>68</v>
      </c>
      <c r="H247" s="72"/>
      <c r="I247" s="72"/>
      <c r="J247" s="72"/>
    </row>
    <row r="249" spans="2:24" s="31" customFormat="1" ht="13.5">
      <c r="B249" s="274" t="str">
        <f>B$41</f>
        <v>Pozo de</v>
      </c>
      <c r="C249" s="274" t="str">
        <f>C$41</f>
        <v>Pozo a</v>
      </c>
      <c r="D249" s="274" t="s">
        <v>130</v>
      </c>
      <c r="E249" s="274" t="s">
        <v>208</v>
      </c>
      <c r="F249" s="274" t="s">
        <v>207</v>
      </c>
      <c r="G249" s="145" t="s">
        <v>9</v>
      </c>
      <c r="H249" s="145" t="s">
        <v>45</v>
      </c>
      <c r="I249" s="274" t="s">
        <v>69</v>
      </c>
      <c r="J249" s="274" t="s">
        <v>70</v>
      </c>
      <c r="K249" s="274" t="s">
        <v>71</v>
      </c>
      <c r="L249" s="145" t="s">
        <v>229</v>
      </c>
      <c r="W249" s="17"/>
      <c r="X249" s="17"/>
    </row>
    <row r="250" spans="2:24">
      <c r="B250" s="275"/>
      <c r="C250" s="275"/>
      <c r="D250" s="275"/>
      <c r="E250" s="287"/>
      <c r="F250" s="287"/>
      <c r="G250" s="146" t="s">
        <v>16</v>
      </c>
      <c r="H250" s="147" t="s">
        <v>49</v>
      </c>
      <c r="I250" s="275"/>
      <c r="J250" s="275"/>
      <c r="K250" s="275"/>
      <c r="L250" s="148" t="s">
        <v>72</v>
      </c>
    </row>
    <row r="251" spans="2:24" s="74" customFormat="1">
      <c r="B251" s="140">
        <f t="shared" ref="B251:E272" si="92">+B181</f>
        <v>130362</v>
      </c>
      <c r="C251" s="140" t="str">
        <f t="shared" si="92"/>
        <v>130317A</v>
      </c>
      <c r="D251" s="135">
        <f t="shared" si="92"/>
        <v>39.630000000000003</v>
      </c>
      <c r="E251" s="135">
        <f t="shared" si="92"/>
        <v>0.2732</v>
      </c>
      <c r="F251" s="135">
        <f t="shared" ref="F251:F272" si="93">+G104</f>
        <v>2.85</v>
      </c>
      <c r="G251" s="135">
        <f t="shared" ref="G251:H272" si="94">+F181</f>
        <v>1</v>
      </c>
      <c r="H251" s="135">
        <f t="shared" si="94"/>
        <v>29.256795085591616</v>
      </c>
      <c r="I251" s="28">
        <f>IF(F251/E251&gt;=2,2.5,3)</f>
        <v>2.5</v>
      </c>
      <c r="J251" s="28">
        <f t="shared" ref="J251" si="95">IF($F$247&lt;=F251,1-0.33*($F$247/F251),1)</f>
        <v>1</v>
      </c>
      <c r="K251" s="135">
        <f>1/(1+4*EXP(-0.2133*F251))</f>
        <v>0.31466711938623754</v>
      </c>
      <c r="L251" s="135">
        <f t="shared" ref="L251:L272" si="96">1/I251*SQRT(32*J251*K251*K181*IF(E251&lt;=0.5,$F$245,$F$246))</f>
        <v>385.1863104956193</v>
      </c>
      <c r="N251" s="256">
        <f>+H251/G251</f>
        <v>29.256795085591616</v>
      </c>
      <c r="W251" s="76"/>
      <c r="X251" s="76"/>
    </row>
    <row r="252" spans="2:24" s="74" customFormat="1">
      <c r="B252" s="140" t="str">
        <f t="shared" si="92"/>
        <v>130317A</v>
      </c>
      <c r="C252" s="140">
        <f t="shared" si="92"/>
        <v>130317</v>
      </c>
      <c r="D252" s="135">
        <f t="shared" si="92"/>
        <v>70.36</v>
      </c>
      <c r="E252" s="135">
        <f t="shared" si="92"/>
        <v>0.2732</v>
      </c>
      <c r="F252" s="135">
        <f t="shared" si="93"/>
        <v>2.96</v>
      </c>
      <c r="G252" s="135">
        <f t="shared" si="94"/>
        <v>1</v>
      </c>
      <c r="H252" s="135">
        <f t="shared" si="94"/>
        <v>29.421598712941382</v>
      </c>
      <c r="I252" s="28">
        <f t="shared" ref="I252:I266" si="97">IF(F252/E252&gt;=2,2.5,3)</f>
        <v>2.5</v>
      </c>
      <c r="J252" s="28">
        <f t="shared" ref="J252:J266" si="98">IF($F$247&lt;=F252,1-0.33*($F$247/F252),1)</f>
        <v>1</v>
      </c>
      <c r="K252" s="135">
        <f t="shared" ref="K252:K266" si="99">1/(1+4*EXP(-0.2133*F252))</f>
        <v>0.31974882024563478</v>
      </c>
      <c r="L252" s="135">
        <f t="shared" si="96"/>
        <v>388.28412707823168</v>
      </c>
      <c r="N252" s="256">
        <f t="shared" ref="N252:N290" si="100">+H252/G252</f>
        <v>29.421598712941382</v>
      </c>
      <c r="W252" s="76"/>
      <c r="X252" s="76"/>
    </row>
    <row r="253" spans="2:24" s="74" customFormat="1">
      <c r="B253" s="140" t="str">
        <f t="shared" si="92"/>
        <v>VICS-141</v>
      </c>
      <c r="C253" s="140">
        <f t="shared" si="92"/>
        <v>79879</v>
      </c>
      <c r="D253" s="135">
        <f t="shared" si="92"/>
        <v>55.38</v>
      </c>
      <c r="E253" s="135">
        <f t="shared" si="92"/>
        <v>0.2732</v>
      </c>
      <c r="F253" s="135">
        <f t="shared" si="93"/>
        <v>2.2000000000000002</v>
      </c>
      <c r="G253" s="135">
        <f t="shared" si="94"/>
        <v>1</v>
      </c>
      <c r="H253" s="135">
        <f t="shared" si="94"/>
        <v>29.011078375092247</v>
      </c>
      <c r="I253" s="28">
        <f t="shared" si="97"/>
        <v>2.5</v>
      </c>
      <c r="J253" s="28">
        <f t="shared" si="98"/>
        <v>1</v>
      </c>
      <c r="K253" s="135">
        <f t="shared" si="99"/>
        <v>0.28556254882985943</v>
      </c>
      <c r="L253" s="135">
        <f t="shared" si="96"/>
        <v>366.94061671907707</v>
      </c>
      <c r="N253" s="256">
        <f t="shared" si="100"/>
        <v>29.011078375092247</v>
      </c>
      <c r="W253" s="76"/>
      <c r="X253" s="76"/>
    </row>
    <row r="254" spans="2:24" s="74" customFormat="1">
      <c r="B254" s="140">
        <f t="shared" si="92"/>
        <v>79879</v>
      </c>
      <c r="C254" s="140">
        <f t="shared" si="92"/>
        <v>130362</v>
      </c>
      <c r="D254" s="135">
        <f t="shared" si="92"/>
        <v>49.85</v>
      </c>
      <c r="E254" s="135">
        <f t="shared" si="92"/>
        <v>0.2732</v>
      </c>
      <c r="F254" s="135">
        <f t="shared" si="93"/>
        <v>1.92</v>
      </c>
      <c r="G254" s="135">
        <f t="shared" si="94"/>
        <v>1</v>
      </c>
      <c r="H254" s="135">
        <f t="shared" si="94"/>
        <v>29.454629607391119</v>
      </c>
      <c r="I254" s="28">
        <f t="shared" si="97"/>
        <v>2.5</v>
      </c>
      <c r="J254" s="28">
        <f t="shared" si="98"/>
        <v>1</v>
      </c>
      <c r="K254" s="135">
        <f t="shared" si="99"/>
        <v>0.27353546898794634</v>
      </c>
      <c r="L254" s="135">
        <f t="shared" si="96"/>
        <v>359.13024853605418</v>
      </c>
      <c r="N254" s="256">
        <f t="shared" si="100"/>
        <v>29.454629607391119</v>
      </c>
      <c r="W254" s="76"/>
      <c r="X254" s="76"/>
    </row>
    <row r="255" spans="2:24" s="74" customFormat="1">
      <c r="B255" s="140">
        <f t="shared" si="92"/>
        <v>79879</v>
      </c>
      <c r="C255" s="140">
        <f t="shared" si="92"/>
        <v>130234</v>
      </c>
      <c r="D255" s="135">
        <f t="shared" si="92"/>
        <v>51.12</v>
      </c>
      <c r="E255" s="135">
        <f t="shared" si="92"/>
        <v>0.2732</v>
      </c>
      <c r="F255" s="135">
        <f t="shared" si="93"/>
        <v>1.46</v>
      </c>
      <c r="G255" s="135">
        <f t="shared" si="94"/>
        <v>1</v>
      </c>
      <c r="H255" s="135">
        <f t="shared" si="94"/>
        <v>31.413280724167478</v>
      </c>
      <c r="I255" s="28">
        <f t="shared" si="97"/>
        <v>2.5</v>
      </c>
      <c r="J255" s="28">
        <f t="shared" si="98"/>
        <v>1</v>
      </c>
      <c r="K255" s="135">
        <f t="shared" si="99"/>
        <v>0.25447684172942175</v>
      </c>
      <c r="L255" s="135">
        <f t="shared" si="96"/>
        <v>346.39314971336324</v>
      </c>
      <c r="N255" s="256">
        <f t="shared" si="100"/>
        <v>31.413280724167478</v>
      </c>
      <c r="W255" s="76"/>
      <c r="X255" s="76"/>
    </row>
    <row r="256" spans="2:24" s="74" customFormat="1">
      <c r="B256" s="140">
        <f t="shared" si="92"/>
        <v>130234</v>
      </c>
      <c r="C256" s="140" t="str">
        <f t="shared" si="92"/>
        <v>VICS-130A</v>
      </c>
      <c r="D256" s="135">
        <f t="shared" si="92"/>
        <v>54.91</v>
      </c>
      <c r="E256" s="135">
        <f t="shared" si="92"/>
        <v>0.32400000000000001</v>
      </c>
      <c r="F256" s="135">
        <f t="shared" si="93"/>
        <v>2.66</v>
      </c>
      <c r="G256" s="135">
        <f t="shared" si="94"/>
        <v>1</v>
      </c>
      <c r="H256" s="135">
        <f t="shared" si="94"/>
        <v>31.57307525648492</v>
      </c>
      <c r="I256" s="28">
        <f t="shared" si="97"/>
        <v>2.5</v>
      </c>
      <c r="J256" s="28">
        <f t="shared" si="98"/>
        <v>1</v>
      </c>
      <c r="K256" s="135">
        <f t="shared" si="99"/>
        <v>0.30599373475304675</v>
      </c>
      <c r="L256" s="135">
        <f t="shared" si="96"/>
        <v>388.43772059348396</v>
      </c>
      <c r="N256" s="256">
        <f t="shared" si="100"/>
        <v>31.57307525648492</v>
      </c>
      <c r="W256" s="76"/>
      <c r="X256" s="76"/>
    </row>
    <row r="257" spans="2:24" s="74" customFormat="1">
      <c r="B257" s="140" t="str">
        <f t="shared" si="92"/>
        <v>VICS-130A</v>
      </c>
      <c r="C257" s="140">
        <f t="shared" si="92"/>
        <v>130178</v>
      </c>
      <c r="D257" s="135">
        <f t="shared" si="92"/>
        <v>55.4</v>
      </c>
      <c r="E257" s="135">
        <f t="shared" si="92"/>
        <v>0.32400000000000001</v>
      </c>
      <c r="F257" s="135">
        <f t="shared" si="93"/>
        <v>1.99</v>
      </c>
      <c r="G257" s="135">
        <f t="shared" si="94"/>
        <v>1</v>
      </c>
      <c r="H257" s="135">
        <f t="shared" si="94"/>
        <v>31.0450496965572</v>
      </c>
      <c r="I257" s="28">
        <f t="shared" si="97"/>
        <v>2.5</v>
      </c>
      <c r="J257" s="28">
        <f t="shared" si="98"/>
        <v>1</v>
      </c>
      <c r="K257" s="135">
        <f t="shared" si="99"/>
        <v>0.27651247594962231</v>
      </c>
      <c r="L257" s="135">
        <f t="shared" si="96"/>
        <v>369.25169305684585</v>
      </c>
      <c r="N257" s="256">
        <f t="shared" si="100"/>
        <v>31.0450496965572</v>
      </c>
      <c r="W257" s="76"/>
      <c r="X257" s="76"/>
    </row>
    <row r="258" spans="2:24" s="74" customFormat="1">
      <c r="B258" s="140">
        <f t="shared" si="92"/>
        <v>130178</v>
      </c>
      <c r="C258" s="140" t="str">
        <f t="shared" si="92"/>
        <v>VICS-132</v>
      </c>
      <c r="D258" s="135">
        <f t="shared" si="92"/>
        <v>48.08</v>
      </c>
      <c r="E258" s="135">
        <f t="shared" si="92"/>
        <v>0.32400000000000001</v>
      </c>
      <c r="F258" s="135">
        <f t="shared" si="93"/>
        <v>2.02</v>
      </c>
      <c r="G258" s="135">
        <f t="shared" si="94"/>
        <v>1</v>
      </c>
      <c r="H258" s="135">
        <f t="shared" si="94"/>
        <v>31.025814337761336</v>
      </c>
      <c r="I258" s="28">
        <f t="shared" si="97"/>
        <v>2.5</v>
      </c>
      <c r="J258" s="28">
        <f t="shared" si="98"/>
        <v>1</v>
      </c>
      <c r="K258" s="135">
        <f t="shared" si="99"/>
        <v>0.27779444615338972</v>
      </c>
      <c r="L258" s="135">
        <f t="shared" si="96"/>
        <v>370.10666763678176</v>
      </c>
      <c r="N258" s="256">
        <f t="shared" si="100"/>
        <v>31.025814337761336</v>
      </c>
      <c r="W258" s="76"/>
      <c r="X258" s="76"/>
    </row>
    <row r="259" spans="2:24" s="74" customFormat="1">
      <c r="B259" s="140">
        <f t="shared" si="92"/>
        <v>130317</v>
      </c>
      <c r="C259" s="140">
        <f t="shared" si="92"/>
        <v>130251</v>
      </c>
      <c r="D259" s="135">
        <f t="shared" si="92"/>
        <v>50.83</v>
      </c>
      <c r="E259" s="135">
        <f t="shared" si="92"/>
        <v>0.2732</v>
      </c>
      <c r="F259" s="135">
        <f t="shared" si="93"/>
        <v>1.64</v>
      </c>
      <c r="G259" s="135">
        <f t="shared" si="94"/>
        <v>1</v>
      </c>
      <c r="H259" s="135">
        <f t="shared" si="94"/>
        <v>30.416878145672271</v>
      </c>
      <c r="I259" s="28">
        <f t="shared" si="97"/>
        <v>2.5</v>
      </c>
      <c r="J259" s="28">
        <f t="shared" si="98"/>
        <v>1</v>
      </c>
      <c r="K259" s="135">
        <f t="shared" si="99"/>
        <v>0.26182929475064065</v>
      </c>
      <c r="L259" s="135">
        <f t="shared" si="96"/>
        <v>351.36158672649572</v>
      </c>
      <c r="N259" s="256">
        <f t="shared" si="100"/>
        <v>30.416878145672271</v>
      </c>
      <c r="W259" s="76"/>
      <c r="X259" s="76"/>
    </row>
    <row r="260" spans="2:24" s="74" customFormat="1">
      <c r="B260" s="140">
        <f t="shared" si="92"/>
        <v>130178</v>
      </c>
      <c r="C260" s="140">
        <f t="shared" si="92"/>
        <v>130251</v>
      </c>
      <c r="D260" s="135">
        <f t="shared" si="92"/>
        <v>50.1</v>
      </c>
      <c r="E260" s="135">
        <f t="shared" si="92"/>
        <v>0.2732</v>
      </c>
      <c r="F260" s="135">
        <f t="shared" si="93"/>
        <v>1.8</v>
      </c>
      <c r="G260" s="135">
        <f t="shared" si="94"/>
        <v>1</v>
      </c>
      <c r="H260" s="135">
        <f t="shared" si="94"/>
        <v>29.792416716663656</v>
      </c>
      <c r="I260" s="28">
        <f t="shared" si="97"/>
        <v>2.5</v>
      </c>
      <c r="J260" s="28">
        <f t="shared" si="98"/>
        <v>1</v>
      </c>
      <c r="K260" s="135">
        <f t="shared" si="99"/>
        <v>0.26847877776832885</v>
      </c>
      <c r="L260" s="135">
        <f t="shared" si="96"/>
        <v>355.79524750237215</v>
      </c>
      <c r="N260" s="256">
        <f t="shared" si="100"/>
        <v>29.792416716663656</v>
      </c>
      <c r="W260" s="76"/>
      <c r="X260" s="76"/>
    </row>
    <row r="261" spans="2:24" s="74" customFormat="1">
      <c r="B261" s="140" t="str">
        <f t="shared" si="92"/>
        <v>PVA-01</v>
      </c>
      <c r="C261" s="140" t="str">
        <f t="shared" si="92"/>
        <v>PVA-02</v>
      </c>
      <c r="D261" s="135">
        <f t="shared" si="92"/>
        <v>6.14</v>
      </c>
      <c r="E261" s="135">
        <f t="shared" si="92"/>
        <v>0.2732</v>
      </c>
      <c r="F261" s="135">
        <f t="shared" si="93"/>
        <v>1.86</v>
      </c>
      <c r="G261" s="135">
        <f t="shared" si="94"/>
        <v>1</v>
      </c>
      <c r="H261" s="135">
        <f t="shared" si="94"/>
        <v>29.610843917517002</v>
      </c>
      <c r="I261" s="28">
        <f t="shared" si="97"/>
        <v>2.5</v>
      </c>
      <c r="J261" s="28">
        <f t="shared" si="98"/>
        <v>1</v>
      </c>
      <c r="K261" s="135">
        <f t="shared" si="99"/>
        <v>0.27099971354133628</v>
      </c>
      <c r="L261" s="135">
        <f t="shared" si="96"/>
        <v>357.46175036215101</v>
      </c>
      <c r="N261" s="256">
        <f t="shared" si="100"/>
        <v>29.610843917517002</v>
      </c>
      <c r="W261" s="76"/>
      <c r="X261" s="76"/>
    </row>
    <row r="262" spans="2:24" s="74" customFormat="1">
      <c r="B262" s="140" t="str">
        <f t="shared" si="92"/>
        <v>PVA-02</v>
      </c>
      <c r="C262" s="140">
        <f t="shared" si="92"/>
        <v>130251</v>
      </c>
      <c r="D262" s="135">
        <f t="shared" si="92"/>
        <v>11.23</v>
      </c>
      <c r="E262" s="135">
        <f t="shared" si="92"/>
        <v>0.2732</v>
      </c>
      <c r="F262" s="135">
        <f t="shared" si="93"/>
        <v>1.46</v>
      </c>
      <c r="G262" s="135">
        <f t="shared" si="94"/>
        <v>1</v>
      </c>
      <c r="H262" s="135">
        <f t="shared" si="94"/>
        <v>31.413280724167478</v>
      </c>
      <c r="I262" s="28">
        <f t="shared" si="97"/>
        <v>2.5</v>
      </c>
      <c r="J262" s="28">
        <f t="shared" si="98"/>
        <v>1</v>
      </c>
      <c r="K262" s="135">
        <f t="shared" si="99"/>
        <v>0.25447684172942175</v>
      </c>
      <c r="L262" s="135">
        <f t="shared" si="96"/>
        <v>346.39314971336324</v>
      </c>
      <c r="N262" s="256">
        <f t="shared" si="100"/>
        <v>31.413280724167478</v>
      </c>
      <c r="W262" s="76"/>
      <c r="X262" s="76"/>
    </row>
    <row r="263" spans="2:24" s="74" customFormat="1">
      <c r="B263" s="140" t="str">
        <f t="shared" si="92"/>
        <v>PV-01</v>
      </c>
      <c r="C263" s="140" t="str">
        <f t="shared" si="92"/>
        <v>PV-02</v>
      </c>
      <c r="D263" s="135">
        <f t="shared" si="92"/>
        <v>10.09</v>
      </c>
      <c r="E263" s="135">
        <f t="shared" si="92"/>
        <v>0.32400000000000001</v>
      </c>
      <c r="F263" s="135">
        <f t="shared" si="93"/>
        <v>2.29</v>
      </c>
      <c r="G263" s="135">
        <f t="shared" si="94"/>
        <v>1</v>
      </c>
      <c r="H263" s="135">
        <f t="shared" si="94"/>
        <v>31.057333900968018</v>
      </c>
      <c r="I263" s="28">
        <f t="shared" si="97"/>
        <v>2.5</v>
      </c>
      <c r="J263" s="28">
        <f t="shared" si="98"/>
        <v>1</v>
      </c>
      <c r="K263" s="135">
        <f t="shared" si="99"/>
        <v>0.28949512299782232</v>
      </c>
      <c r="L263" s="135">
        <f t="shared" si="96"/>
        <v>377.82070638215839</v>
      </c>
      <c r="N263" s="256">
        <f t="shared" si="100"/>
        <v>31.057333900968018</v>
      </c>
      <c r="W263" s="76"/>
      <c r="X263" s="76"/>
    </row>
    <row r="264" spans="2:24" s="74" customFormat="1">
      <c r="B264" s="140" t="str">
        <f t="shared" si="92"/>
        <v>PV-02</v>
      </c>
      <c r="C264" s="140">
        <f t="shared" si="92"/>
        <v>125889</v>
      </c>
      <c r="D264" s="135">
        <f t="shared" si="92"/>
        <v>14.58</v>
      </c>
      <c r="E264" s="135">
        <f t="shared" si="92"/>
        <v>0.32400000000000001</v>
      </c>
      <c r="F264" s="135">
        <f t="shared" si="93"/>
        <v>2.29</v>
      </c>
      <c r="G264" s="135">
        <f t="shared" si="94"/>
        <v>1</v>
      </c>
      <c r="H264" s="135">
        <f t="shared" si="94"/>
        <v>31.057333900968018</v>
      </c>
      <c r="I264" s="28">
        <f t="shared" si="97"/>
        <v>2.5</v>
      </c>
      <c r="J264" s="28">
        <f t="shared" si="98"/>
        <v>1</v>
      </c>
      <c r="K264" s="135">
        <f t="shared" si="99"/>
        <v>0.28949512299782232</v>
      </c>
      <c r="L264" s="135">
        <f t="shared" si="96"/>
        <v>377.82070638215839</v>
      </c>
      <c r="N264" s="256">
        <f t="shared" si="100"/>
        <v>31.057333900968018</v>
      </c>
      <c r="W264" s="76"/>
      <c r="X264" s="76"/>
    </row>
    <row r="265" spans="2:24" s="74" customFormat="1">
      <c r="B265" s="140">
        <f t="shared" si="92"/>
        <v>125889</v>
      </c>
      <c r="C265" s="140">
        <f t="shared" si="92"/>
        <v>125890</v>
      </c>
      <c r="D265" s="135">
        <f t="shared" si="92"/>
        <v>53.53</v>
      </c>
      <c r="E265" s="135">
        <f t="shared" si="92"/>
        <v>0.32400000000000001</v>
      </c>
      <c r="F265" s="135">
        <f t="shared" si="93"/>
        <v>2.35</v>
      </c>
      <c r="G265" s="135">
        <f t="shared" si="94"/>
        <v>1</v>
      </c>
      <c r="H265" s="135">
        <f t="shared" si="94"/>
        <v>31.108105205696987</v>
      </c>
      <c r="I265" s="28">
        <f t="shared" si="97"/>
        <v>2.5</v>
      </c>
      <c r="J265" s="28">
        <f t="shared" si="98"/>
        <v>1</v>
      </c>
      <c r="K265" s="135">
        <f t="shared" si="99"/>
        <v>0.29213458894536426</v>
      </c>
      <c r="L265" s="135">
        <f t="shared" si="96"/>
        <v>379.53918455923031</v>
      </c>
      <c r="N265" s="256">
        <f t="shared" si="100"/>
        <v>31.108105205696987</v>
      </c>
      <c r="W265" s="76"/>
      <c r="X265" s="76"/>
    </row>
    <row r="266" spans="2:24" s="74" customFormat="1">
      <c r="B266" s="140">
        <f t="shared" si="92"/>
        <v>78120</v>
      </c>
      <c r="C266" s="140">
        <f t="shared" si="92"/>
        <v>77975</v>
      </c>
      <c r="D266" s="135">
        <f t="shared" si="92"/>
        <v>50.07</v>
      </c>
      <c r="E266" s="135">
        <f t="shared" si="92"/>
        <v>1.0649999999999999</v>
      </c>
      <c r="F266" s="135">
        <f t="shared" si="93"/>
        <v>2.77</v>
      </c>
      <c r="G266" s="135">
        <f t="shared" si="94"/>
        <v>1.7999999999999998</v>
      </c>
      <c r="H266" s="135">
        <f t="shared" si="94"/>
        <v>56.381532620009921</v>
      </c>
      <c r="I266" s="28">
        <f t="shared" si="97"/>
        <v>2.5</v>
      </c>
      <c r="J266" s="28">
        <f t="shared" si="98"/>
        <v>1</v>
      </c>
      <c r="K266" s="135">
        <f t="shared" si="99"/>
        <v>0.31099892811628599</v>
      </c>
      <c r="L266" s="135">
        <f t="shared" si="96"/>
        <v>324.05128574711642</v>
      </c>
      <c r="N266" s="256">
        <f t="shared" si="100"/>
        <v>31.323073677783292</v>
      </c>
      <c r="W266" s="76"/>
      <c r="X266" s="76"/>
    </row>
    <row r="267" spans="2:24" s="74" customFormat="1">
      <c r="B267" s="140">
        <f t="shared" si="92"/>
        <v>77975</v>
      </c>
      <c r="C267" s="140">
        <f t="shared" si="92"/>
        <v>77724</v>
      </c>
      <c r="D267" s="135">
        <f t="shared" si="92"/>
        <v>50.46</v>
      </c>
      <c r="E267" s="135">
        <f t="shared" si="92"/>
        <v>1.0649999999999999</v>
      </c>
      <c r="F267" s="135">
        <f t="shared" si="93"/>
        <v>2.8</v>
      </c>
      <c r="G267" s="135">
        <f t="shared" si="94"/>
        <v>1.7999999999999998</v>
      </c>
      <c r="H267" s="135">
        <f t="shared" si="94"/>
        <v>56.642200003568455</v>
      </c>
      <c r="I267" s="28">
        <f t="shared" ref="I267:I272" si="101">IF(F267/E267&gt;=2,2.5,3)</f>
        <v>2.5</v>
      </c>
      <c r="J267" s="28">
        <f t="shared" ref="J267:J272" si="102">IF($F$247&lt;=F267,1-0.33*($F$247/F267),1)</f>
        <v>1</v>
      </c>
      <c r="K267" s="135">
        <f t="shared" ref="K267:K272" si="103">1/(1+4*EXP(-0.2133*F267))</f>
        <v>0.31237175247844379</v>
      </c>
      <c r="L267" s="135">
        <f t="shared" si="96"/>
        <v>324.76571850576829</v>
      </c>
      <c r="N267" s="256">
        <f t="shared" si="100"/>
        <v>31.467888890871368</v>
      </c>
      <c r="W267" s="76"/>
      <c r="X267" s="76"/>
    </row>
    <row r="268" spans="2:24" s="74" customFormat="1">
      <c r="B268" s="140">
        <f t="shared" si="92"/>
        <v>78745</v>
      </c>
      <c r="C268" s="140">
        <f t="shared" si="92"/>
        <v>77970</v>
      </c>
      <c r="D268" s="135">
        <f t="shared" si="92"/>
        <v>51.41</v>
      </c>
      <c r="E268" s="135">
        <f t="shared" si="92"/>
        <v>0.32400000000000001</v>
      </c>
      <c r="F268" s="135">
        <f t="shared" si="93"/>
        <v>1.9</v>
      </c>
      <c r="G268" s="135">
        <f t="shared" si="94"/>
        <v>1</v>
      </c>
      <c r="H268" s="135">
        <f t="shared" si="94"/>
        <v>31.134422210458208</v>
      </c>
      <c r="I268" s="28">
        <f t="shared" si="101"/>
        <v>2.5</v>
      </c>
      <c r="J268" s="28">
        <f t="shared" si="102"/>
        <v>1</v>
      </c>
      <c r="K268" s="135">
        <f t="shared" si="103"/>
        <v>0.27268857531445312</v>
      </c>
      <c r="L268" s="135">
        <f t="shared" si="96"/>
        <v>366.68960718089966</v>
      </c>
      <c r="N268" s="256">
        <f t="shared" si="100"/>
        <v>31.134422210458208</v>
      </c>
      <c r="W268" s="76"/>
      <c r="X268" s="76"/>
    </row>
    <row r="269" spans="2:24" s="74" customFormat="1">
      <c r="B269" s="140">
        <f t="shared" si="92"/>
        <v>77970</v>
      </c>
      <c r="C269" s="140" t="str">
        <f t="shared" si="92"/>
        <v>VCP-163</v>
      </c>
      <c r="D269" s="135">
        <f t="shared" si="92"/>
        <v>75.95</v>
      </c>
      <c r="E269" s="135">
        <f t="shared" si="92"/>
        <v>0.32400000000000001</v>
      </c>
      <c r="F269" s="135">
        <f t="shared" si="93"/>
        <v>2.59</v>
      </c>
      <c r="G269" s="135">
        <f t="shared" si="94"/>
        <v>1</v>
      </c>
      <c r="H269" s="135">
        <f t="shared" si="94"/>
        <v>31.441255059319314</v>
      </c>
      <c r="I269" s="28">
        <f t="shared" si="101"/>
        <v>2.5</v>
      </c>
      <c r="J269" s="28">
        <f t="shared" si="102"/>
        <v>1</v>
      </c>
      <c r="K269" s="135">
        <f t="shared" si="103"/>
        <v>0.30283218099706127</v>
      </c>
      <c r="L269" s="135">
        <f t="shared" si="96"/>
        <v>386.42582425127193</v>
      </c>
      <c r="N269" s="256">
        <f t="shared" si="100"/>
        <v>31.441255059319314</v>
      </c>
      <c r="W269" s="76"/>
      <c r="X269" s="76"/>
    </row>
    <row r="270" spans="2:24" s="74" customFormat="1">
      <c r="B270" s="140" t="str">
        <f t="shared" si="92"/>
        <v>PV-03</v>
      </c>
      <c r="C270" s="140">
        <f t="shared" si="92"/>
        <v>78745</v>
      </c>
      <c r="D270" s="135">
        <f t="shared" si="92"/>
        <v>65.150000000000006</v>
      </c>
      <c r="E270" s="135">
        <f t="shared" si="92"/>
        <v>0.32400000000000001</v>
      </c>
      <c r="F270" s="135">
        <f t="shared" si="93"/>
        <v>1.37</v>
      </c>
      <c r="G270" s="135">
        <f t="shared" si="94"/>
        <v>1</v>
      </c>
      <c r="H270" s="135">
        <f t="shared" si="94"/>
        <v>32.954042705590254</v>
      </c>
      <c r="I270" s="28">
        <f t="shared" si="101"/>
        <v>2.5</v>
      </c>
      <c r="J270" s="28">
        <f t="shared" si="102"/>
        <v>1</v>
      </c>
      <c r="K270" s="135">
        <f t="shared" si="103"/>
        <v>0.2508520142602842</v>
      </c>
      <c r="L270" s="135">
        <f t="shared" si="96"/>
        <v>351.70126151631064</v>
      </c>
      <c r="N270" s="256">
        <f t="shared" si="100"/>
        <v>32.954042705590254</v>
      </c>
      <c r="W270" s="76"/>
      <c r="X270" s="76"/>
    </row>
    <row r="271" spans="2:24" s="74" customFormat="1">
      <c r="B271" s="140" t="str">
        <f t="shared" si="92"/>
        <v>PV-05</v>
      </c>
      <c r="C271" s="140" t="str">
        <f t="shared" si="92"/>
        <v>PV-06</v>
      </c>
      <c r="D271" s="135">
        <f t="shared" si="92"/>
        <v>28.52</v>
      </c>
      <c r="E271" s="135">
        <f t="shared" si="92"/>
        <v>0.32400000000000001</v>
      </c>
      <c r="F271" s="135">
        <f t="shared" si="93"/>
        <v>1.4</v>
      </c>
      <c r="G271" s="135">
        <f t="shared" si="94"/>
        <v>1</v>
      </c>
      <c r="H271" s="135">
        <f t="shared" si="94"/>
        <v>32.773948003851565</v>
      </c>
      <c r="I271" s="28">
        <f t="shared" si="101"/>
        <v>2.5</v>
      </c>
      <c r="J271" s="28">
        <f t="shared" si="102"/>
        <v>1</v>
      </c>
      <c r="K271" s="135">
        <f t="shared" si="103"/>
        <v>0.25205646427699829</v>
      </c>
      <c r="L271" s="135">
        <f t="shared" si="96"/>
        <v>352.5445860728023</v>
      </c>
      <c r="N271" s="256">
        <f t="shared" si="100"/>
        <v>32.773948003851565</v>
      </c>
      <c r="W271" s="76"/>
      <c r="X271" s="76"/>
    </row>
    <row r="272" spans="2:24" s="74" customFormat="1">
      <c r="B272" s="140" t="str">
        <f t="shared" si="92"/>
        <v>PV-06</v>
      </c>
      <c r="C272" s="140">
        <f t="shared" si="92"/>
        <v>79268</v>
      </c>
      <c r="D272" s="135">
        <f t="shared" si="92"/>
        <v>9.8000000000000007</v>
      </c>
      <c r="E272" s="135">
        <f t="shared" si="92"/>
        <v>0.32400000000000001</v>
      </c>
      <c r="F272" s="135">
        <f t="shared" si="93"/>
        <v>1.1599999999999999</v>
      </c>
      <c r="G272" s="135">
        <f t="shared" si="94"/>
        <v>1</v>
      </c>
      <c r="H272" s="135">
        <f t="shared" si="94"/>
        <v>34.587267811521869</v>
      </c>
      <c r="I272" s="28">
        <f t="shared" si="101"/>
        <v>2.5</v>
      </c>
      <c r="J272" s="28">
        <f t="shared" si="102"/>
        <v>1</v>
      </c>
      <c r="K272" s="135">
        <f t="shared" si="103"/>
        <v>0.24252855925485389</v>
      </c>
      <c r="L272" s="135">
        <f t="shared" si="96"/>
        <v>345.81718654828063</v>
      </c>
      <c r="N272" s="256">
        <f t="shared" si="100"/>
        <v>34.587267811521869</v>
      </c>
      <c r="W272" s="76"/>
      <c r="X272" s="76"/>
    </row>
    <row r="273" spans="2:24" s="74" customFormat="1">
      <c r="B273" s="311" t="str">
        <f t="shared" ref="B273" si="104">+B203</f>
        <v>SUMIDEROS</v>
      </c>
      <c r="C273" s="311"/>
      <c r="D273" s="311"/>
      <c r="E273" s="311"/>
      <c r="F273" s="311"/>
      <c r="G273" s="311"/>
      <c r="H273" s="311"/>
      <c r="I273" s="311"/>
      <c r="J273" s="311"/>
      <c r="K273" s="311"/>
      <c r="L273" s="311"/>
      <c r="N273" s="256" t="e">
        <f t="shared" si="100"/>
        <v>#DIV/0!</v>
      </c>
      <c r="W273" s="76"/>
      <c r="X273" s="76"/>
    </row>
    <row r="274" spans="2:24" s="74" customFormat="1">
      <c r="B274" s="140" t="str">
        <f t="shared" ref="B274:E274" si="105">+B204</f>
        <v>S31</v>
      </c>
      <c r="C274" s="140">
        <f t="shared" si="105"/>
        <v>77724</v>
      </c>
      <c r="D274" s="135">
        <f t="shared" si="105"/>
        <v>7.7</v>
      </c>
      <c r="E274" s="135">
        <f t="shared" si="105"/>
        <v>0.2732</v>
      </c>
      <c r="F274" s="135">
        <f t="shared" ref="F274:F290" si="106">+G127</f>
        <v>1</v>
      </c>
      <c r="G274" s="135">
        <f t="shared" ref="G274:H274" si="107">+F204</f>
        <v>1</v>
      </c>
      <c r="H274" s="135">
        <f t="shared" si="107"/>
        <v>36.132085065600947</v>
      </c>
      <c r="I274" s="28">
        <f t="shared" ref="I274:I290" si="108">IF(F274/E274&gt;=2,2.5,3)</f>
        <v>2.5</v>
      </c>
      <c r="J274" s="28">
        <f t="shared" ref="J274:J290" si="109">IF($F$247&lt;=F274,1-0.33*($F$247/F274),1)</f>
        <v>1</v>
      </c>
      <c r="K274" s="135">
        <f t="shared" ref="K274:K290" si="110">1/(1+4*EXP(-0.2133*F274))</f>
        <v>0.23631416596766189</v>
      </c>
      <c r="L274" s="135">
        <f t="shared" ref="L274:L290" si="111">1/I274*SQRT(32*J274*K274*K204*IF(E274&lt;=0.5,$F$245,$F$246))</f>
        <v>333.80284966555371</v>
      </c>
      <c r="N274" s="256">
        <f t="shared" si="100"/>
        <v>36.132085065600947</v>
      </c>
      <c r="W274" s="76"/>
      <c r="X274" s="76"/>
    </row>
    <row r="275" spans="2:24" s="74" customFormat="1">
      <c r="B275" s="140" t="str">
        <f t="shared" ref="B275:E275" si="112">+B205</f>
        <v>S32</v>
      </c>
      <c r="C275" s="140">
        <f t="shared" si="112"/>
        <v>77724</v>
      </c>
      <c r="D275" s="135">
        <f t="shared" si="112"/>
        <v>9</v>
      </c>
      <c r="E275" s="135">
        <f t="shared" si="112"/>
        <v>0.2732</v>
      </c>
      <c r="F275" s="135">
        <f t="shared" si="106"/>
        <v>1</v>
      </c>
      <c r="G275" s="135">
        <f t="shared" ref="G275:H275" si="113">+F205</f>
        <v>1</v>
      </c>
      <c r="H275" s="135">
        <f t="shared" si="113"/>
        <v>36.132085065600947</v>
      </c>
      <c r="I275" s="28">
        <f t="shared" si="108"/>
        <v>2.5</v>
      </c>
      <c r="J275" s="28">
        <f t="shared" si="109"/>
        <v>1</v>
      </c>
      <c r="K275" s="135">
        <f t="shared" si="110"/>
        <v>0.23631416596766189</v>
      </c>
      <c r="L275" s="135">
        <f t="shared" si="111"/>
        <v>333.80284966555371</v>
      </c>
      <c r="N275" s="256">
        <f t="shared" si="100"/>
        <v>36.132085065600947</v>
      </c>
      <c r="W275" s="76"/>
      <c r="X275" s="76"/>
    </row>
    <row r="276" spans="2:24" s="74" customFormat="1">
      <c r="B276" s="140" t="str">
        <f t="shared" ref="B276:E276" si="114">+B206</f>
        <v>S33</v>
      </c>
      <c r="C276" s="140">
        <f t="shared" si="114"/>
        <v>125889</v>
      </c>
      <c r="D276" s="135">
        <f t="shared" si="114"/>
        <v>1.5</v>
      </c>
      <c r="E276" s="135">
        <f t="shared" si="114"/>
        <v>0.2732</v>
      </c>
      <c r="F276" s="135">
        <f t="shared" si="106"/>
        <v>1.1200000000000001</v>
      </c>
      <c r="G276" s="135">
        <f t="shared" ref="G276:H276" si="115">+F206</f>
        <v>1</v>
      </c>
      <c r="H276" s="135">
        <f t="shared" si="115"/>
        <v>34.50281686880782</v>
      </c>
      <c r="I276" s="28">
        <f t="shared" si="108"/>
        <v>2.5</v>
      </c>
      <c r="J276" s="28">
        <f t="shared" si="109"/>
        <v>1</v>
      </c>
      <c r="K276" s="135">
        <f t="shared" si="110"/>
        <v>0.2409646037987668</v>
      </c>
      <c r="L276" s="135">
        <f t="shared" si="111"/>
        <v>337.07130912568641</v>
      </c>
      <c r="N276" s="256">
        <f t="shared" si="100"/>
        <v>34.50281686880782</v>
      </c>
      <c r="W276" s="76"/>
      <c r="X276" s="76"/>
    </row>
    <row r="277" spans="2:24" s="74" customFormat="1">
      <c r="B277" s="140" t="str">
        <f t="shared" ref="B277:E277" si="116">+B207</f>
        <v>S34</v>
      </c>
      <c r="C277" s="140">
        <f t="shared" si="116"/>
        <v>125889</v>
      </c>
      <c r="D277" s="135">
        <f t="shared" si="116"/>
        <v>2.4</v>
      </c>
      <c r="E277" s="135">
        <f t="shared" si="116"/>
        <v>0.2732</v>
      </c>
      <c r="F277" s="135">
        <f t="shared" si="106"/>
        <v>1.1399999999999999</v>
      </c>
      <c r="G277" s="135">
        <f t="shared" ref="G277:H277" si="117">+F207</f>
        <v>1</v>
      </c>
      <c r="H277" s="135">
        <f t="shared" si="117"/>
        <v>34.263968717135519</v>
      </c>
      <c r="I277" s="28">
        <f t="shared" si="108"/>
        <v>2.5</v>
      </c>
      <c r="J277" s="28">
        <f t="shared" si="109"/>
        <v>1</v>
      </c>
      <c r="K277" s="135">
        <f t="shared" si="110"/>
        <v>0.2417457200132771</v>
      </c>
      <c r="L277" s="135">
        <f t="shared" si="111"/>
        <v>337.61719601696694</v>
      </c>
      <c r="N277" s="256">
        <f t="shared" si="100"/>
        <v>34.263968717135519</v>
      </c>
      <c r="W277" s="76"/>
      <c r="X277" s="76"/>
    </row>
    <row r="278" spans="2:24" s="74" customFormat="1">
      <c r="B278" s="140" t="str">
        <f t="shared" ref="B278:E278" si="118">+B208</f>
        <v>S35</v>
      </c>
      <c r="C278" s="140">
        <f t="shared" si="118"/>
        <v>125890</v>
      </c>
      <c r="D278" s="135">
        <f t="shared" si="118"/>
        <v>16.600000000000001</v>
      </c>
      <c r="E278" s="135">
        <f t="shared" si="118"/>
        <v>0.2732</v>
      </c>
      <c r="F278" s="135">
        <f t="shared" si="106"/>
        <v>1.1200000000000001</v>
      </c>
      <c r="G278" s="135">
        <f t="shared" ref="G278:H278" si="119">+F208</f>
        <v>1</v>
      </c>
      <c r="H278" s="135">
        <f t="shared" si="119"/>
        <v>34.50281686880782</v>
      </c>
      <c r="I278" s="28">
        <f t="shared" si="108"/>
        <v>2.5</v>
      </c>
      <c r="J278" s="28">
        <f t="shared" si="109"/>
        <v>1</v>
      </c>
      <c r="K278" s="135">
        <f t="shared" si="110"/>
        <v>0.2409646037987668</v>
      </c>
      <c r="L278" s="135">
        <f t="shared" si="111"/>
        <v>337.07130912568641</v>
      </c>
      <c r="N278" s="256">
        <f t="shared" si="100"/>
        <v>34.50281686880782</v>
      </c>
      <c r="W278" s="76"/>
      <c r="X278" s="76"/>
    </row>
    <row r="279" spans="2:24" s="74" customFormat="1">
      <c r="B279" s="140" t="str">
        <f t="shared" ref="B279:E279" si="120">+B209</f>
        <v>S36</v>
      </c>
      <c r="C279" s="140">
        <f t="shared" si="120"/>
        <v>125890</v>
      </c>
      <c r="D279" s="135">
        <f t="shared" si="120"/>
        <v>15.8</v>
      </c>
      <c r="E279" s="135">
        <f t="shared" si="120"/>
        <v>0.2732</v>
      </c>
      <c r="F279" s="135">
        <f t="shared" si="106"/>
        <v>1.1399999999999999</v>
      </c>
      <c r="G279" s="135">
        <f t="shared" ref="G279:H279" si="121">+F209</f>
        <v>1</v>
      </c>
      <c r="H279" s="135">
        <f t="shared" si="121"/>
        <v>34.263968717135519</v>
      </c>
      <c r="I279" s="28">
        <f t="shared" si="108"/>
        <v>2.5</v>
      </c>
      <c r="J279" s="28">
        <f t="shared" si="109"/>
        <v>1</v>
      </c>
      <c r="K279" s="135">
        <f t="shared" si="110"/>
        <v>0.2417457200132771</v>
      </c>
      <c r="L279" s="135">
        <f t="shared" si="111"/>
        <v>337.61719601696694</v>
      </c>
      <c r="N279" s="256">
        <f t="shared" si="100"/>
        <v>34.263968717135519</v>
      </c>
      <c r="W279" s="76"/>
      <c r="X279" s="76"/>
    </row>
    <row r="280" spans="2:24" s="74" customFormat="1">
      <c r="B280" s="140" t="str">
        <f t="shared" ref="B280:E280" si="122">+B210</f>
        <v>S37</v>
      </c>
      <c r="C280" s="140">
        <f t="shared" si="122"/>
        <v>77724</v>
      </c>
      <c r="D280" s="135">
        <f t="shared" si="122"/>
        <v>9.6999999999999993</v>
      </c>
      <c r="E280" s="135">
        <f t="shared" si="122"/>
        <v>0.2732</v>
      </c>
      <c r="F280" s="135">
        <f t="shared" si="106"/>
        <v>1</v>
      </c>
      <c r="G280" s="135">
        <f t="shared" ref="G280:H280" si="123">+F210</f>
        <v>1</v>
      </c>
      <c r="H280" s="135">
        <f t="shared" si="123"/>
        <v>36.132085065600947</v>
      </c>
      <c r="I280" s="28">
        <f t="shared" si="108"/>
        <v>2.5</v>
      </c>
      <c r="J280" s="28">
        <f t="shared" si="109"/>
        <v>1</v>
      </c>
      <c r="K280" s="135">
        <f t="shared" si="110"/>
        <v>0.23631416596766189</v>
      </c>
      <c r="L280" s="135">
        <f t="shared" si="111"/>
        <v>333.80284966555371</v>
      </c>
      <c r="N280" s="256">
        <f t="shared" si="100"/>
        <v>36.132085065600947</v>
      </c>
      <c r="W280" s="76"/>
      <c r="X280" s="76"/>
    </row>
    <row r="281" spans="2:24" s="74" customFormat="1">
      <c r="B281" s="140" t="str">
        <f t="shared" ref="B281:E281" si="124">+B211</f>
        <v>S38</v>
      </c>
      <c r="C281" s="140">
        <f t="shared" si="124"/>
        <v>77975</v>
      </c>
      <c r="D281" s="135">
        <f t="shared" si="124"/>
        <v>6.7</v>
      </c>
      <c r="E281" s="135">
        <f t="shared" si="124"/>
        <v>0.2732</v>
      </c>
      <c r="F281" s="135">
        <f t="shared" si="106"/>
        <v>1.47</v>
      </c>
      <c r="G281" s="135">
        <f t="shared" ref="G281:H281" si="125">+F211</f>
        <v>1</v>
      </c>
      <c r="H281" s="135">
        <f t="shared" si="125"/>
        <v>31.348387571242249</v>
      </c>
      <c r="I281" s="28">
        <f t="shared" si="108"/>
        <v>2.5</v>
      </c>
      <c r="J281" s="28">
        <f t="shared" si="109"/>
        <v>1</v>
      </c>
      <c r="K281" s="135">
        <f t="shared" si="110"/>
        <v>0.25488172291443423</v>
      </c>
      <c r="L281" s="135">
        <f t="shared" si="111"/>
        <v>346.66860174953371</v>
      </c>
      <c r="N281" s="256">
        <f t="shared" si="100"/>
        <v>31.348387571242249</v>
      </c>
      <c r="W281" s="76"/>
      <c r="X281" s="76"/>
    </row>
    <row r="282" spans="2:24" s="74" customFormat="1">
      <c r="B282" s="140" t="str">
        <f t="shared" ref="B282:E282" si="126">+B212</f>
        <v>S39</v>
      </c>
      <c r="C282" s="140">
        <f t="shared" si="126"/>
        <v>78120</v>
      </c>
      <c r="D282" s="135">
        <f t="shared" si="126"/>
        <v>8</v>
      </c>
      <c r="E282" s="135">
        <f t="shared" si="126"/>
        <v>0.2732</v>
      </c>
      <c r="F282" s="135">
        <f t="shared" si="106"/>
        <v>1.01</v>
      </c>
      <c r="G282" s="135">
        <f t="shared" ref="G282:H282" si="127">+F212</f>
        <v>1</v>
      </c>
      <c r="H282" s="135">
        <f t="shared" si="127"/>
        <v>35.982354859628913</v>
      </c>
      <c r="I282" s="28">
        <f t="shared" si="108"/>
        <v>2.5</v>
      </c>
      <c r="J282" s="28">
        <f t="shared" si="109"/>
        <v>1</v>
      </c>
      <c r="K282" s="135">
        <f t="shared" si="110"/>
        <v>0.23669932449364475</v>
      </c>
      <c r="L282" s="135">
        <f t="shared" si="111"/>
        <v>334.07476453188178</v>
      </c>
      <c r="N282" s="256">
        <f t="shared" si="100"/>
        <v>35.982354859628913</v>
      </c>
      <c r="W282" s="76"/>
      <c r="X282" s="76"/>
    </row>
    <row r="283" spans="2:24" s="74" customFormat="1">
      <c r="B283" s="140" t="str">
        <f t="shared" ref="B283:E283" si="128">+B213</f>
        <v>S46</v>
      </c>
      <c r="C283" s="140" t="str">
        <f t="shared" si="128"/>
        <v>PV-03</v>
      </c>
      <c r="D283" s="135">
        <f t="shared" si="128"/>
        <v>1.5</v>
      </c>
      <c r="E283" s="135">
        <f t="shared" si="128"/>
        <v>0.2732</v>
      </c>
      <c r="F283" s="135">
        <f t="shared" si="106"/>
        <v>1.7</v>
      </c>
      <c r="G283" s="135">
        <f t="shared" ref="G283:H283" si="129">+F213</f>
        <v>1</v>
      </c>
      <c r="H283" s="135">
        <f t="shared" si="129"/>
        <v>30.157049610350654</v>
      </c>
      <c r="I283" s="28">
        <f t="shared" si="108"/>
        <v>2.5</v>
      </c>
      <c r="J283" s="28">
        <f t="shared" si="109"/>
        <v>1</v>
      </c>
      <c r="K283" s="135">
        <f t="shared" si="110"/>
        <v>0.2643103532271226</v>
      </c>
      <c r="L283" s="135">
        <f t="shared" si="111"/>
        <v>353.02238871618084</v>
      </c>
      <c r="N283" s="256">
        <f t="shared" si="100"/>
        <v>30.157049610350654</v>
      </c>
      <c r="W283" s="76"/>
      <c r="X283" s="76"/>
    </row>
    <row r="284" spans="2:24" s="74" customFormat="1">
      <c r="B284" s="140" t="str">
        <f t="shared" ref="B284:E284" si="130">+B214</f>
        <v>S47</v>
      </c>
      <c r="C284" s="140" t="str">
        <f t="shared" si="130"/>
        <v>PV-03</v>
      </c>
      <c r="D284" s="135">
        <f t="shared" si="130"/>
        <v>2</v>
      </c>
      <c r="E284" s="135">
        <f t="shared" si="130"/>
        <v>0.2732</v>
      </c>
      <c r="F284" s="135">
        <f t="shared" si="106"/>
        <v>1.7</v>
      </c>
      <c r="G284" s="135">
        <f t="shared" ref="G284:H284" si="131">+F214</f>
        <v>1</v>
      </c>
      <c r="H284" s="135">
        <f t="shared" si="131"/>
        <v>30.157049610350654</v>
      </c>
      <c r="I284" s="28">
        <f t="shared" si="108"/>
        <v>2.5</v>
      </c>
      <c r="J284" s="28">
        <f t="shared" si="109"/>
        <v>1</v>
      </c>
      <c r="K284" s="135">
        <f t="shared" si="110"/>
        <v>0.2643103532271226</v>
      </c>
      <c r="L284" s="135">
        <f t="shared" si="111"/>
        <v>353.02238871618084</v>
      </c>
      <c r="N284" s="256">
        <f t="shared" si="100"/>
        <v>30.157049610350654</v>
      </c>
      <c r="W284" s="76"/>
      <c r="X284" s="76"/>
    </row>
    <row r="285" spans="2:24" s="74" customFormat="1">
      <c r="B285" s="140" t="str">
        <f t="shared" ref="B285:E285" si="132">+B215</f>
        <v>S48</v>
      </c>
      <c r="C285" s="140">
        <f t="shared" si="132"/>
        <v>78745</v>
      </c>
      <c r="D285" s="135">
        <f t="shared" si="132"/>
        <v>11.7</v>
      </c>
      <c r="E285" s="135">
        <f t="shared" si="132"/>
        <v>0.2732</v>
      </c>
      <c r="F285" s="135">
        <f t="shared" si="106"/>
        <v>1.1399999999999999</v>
      </c>
      <c r="G285" s="135">
        <f t="shared" ref="G285:H285" si="133">+F215</f>
        <v>1</v>
      </c>
      <c r="H285" s="135">
        <f t="shared" si="133"/>
        <v>34.263968717135519</v>
      </c>
      <c r="I285" s="28">
        <f t="shared" si="108"/>
        <v>2.5</v>
      </c>
      <c r="J285" s="28">
        <f t="shared" si="109"/>
        <v>1</v>
      </c>
      <c r="K285" s="135">
        <f t="shared" si="110"/>
        <v>0.2417457200132771</v>
      </c>
      <c r="L285" s="135">
        <f t="shared" si="111"/>
        <v>337.61719601696694</v>
      </c>
      <c r="N285" s="256">
        <f t="shared" si="100"/>
        <v>34.263968717135519</v>
      </c>
      <c r="W285" s="76"/>
      <c r="X285" s="76"/>
    </row>
    <row r="286" spans="2:24" s="74" customFormat="1">
      <c r="B286" s="140" t="str">
        <f t="shared" ref="B286:E286" si="134">+B216</f>
        <v>S49</v>
      </c>
      <c r="C286" s="140">
        <f t="shared" si="134"/>
        <v>78745</v>
      </c>
      <c r="D286" s="135">
        <f t="shared" si="134"/>
        <v>12.1</v>
      </c>
      <c r="E286" s="135">
        <f t="shared" si="134"/>
        <v>0.2732</v>
      </c>
      <c r="F286" s="135">
        <f t="shared" si="106"/>
        <v>1.17</v>
      </c>
      <c r="G286" s="135">
        <f t="shared" ref="G286:H286" si="135">+F216</f>
        <v>1</v>
      </c>
      <c r="H286" s="135">
        <f t="shared" si="135"/>
        <v>33.921419352907272</v>
      </c>
      <c r="I286" s="28">
        <f t="shared" si="108"/>
        <v>2.5</v>
      </c>
      <c r="J286" s="28">
        <f t="shared" si="109"/>
        <v>1</v>
      </c>
      <c r="K286" s="135">
        <f t="shared" si="110"/>
        <v>0.24292062456242144</v>
      </c>
      <c r="L286" s="135">
        <f t="shared" si="111"/>
        <v>338.43662559599443</v>
      </c>
      <c r="N286" s="256">
        <f t="shared" si="100"/>
        <v>33.921419352907272</v>
      </c>
      <c r="W286" s="76"/>
      <c r="X286" s="76"/>
    </row>
    <row r="287" spans="2:24" s="74" customFormat="1">
      <c r="B287" s="140" t="str">
        <f t="shared" ref="B287:E287" si="136">+B217</f>
        <v>S50</v>
      </c>
      <c r="C287" s="140">
        <f t="shared" si="136"/>
        <v>77970</v>
      </c>
      <c r="D287" s="135">
        <f t="shared" si="136"/>
        <v>7.3</v>
      </c>
      <c r="E287" s="135">
        <f t="shared" si="136"/>
        <v>0.2732</v>
      </c>
      <c r="F287" s="135">
        <f t="shared" si="106"/>
        <v>1.1299999999999999</v>
      </c>
      <c r="G287" s="135">
        <f t="shared" ref="G287:H287" si="137">+F217</f>
        <v>1</v>
      </c>
      <c r="H287" s="135">
        <f t="shared" si="137"/>
        <v>34.382318730640058</v>
      </c>
      <c r="I287" s="28">
        <f t="shared" si="108"/>
        <v>2.5</v>
      </c>
      <c r="J287" s="28">
        <f t="shared" si="109"/>
        <v>1</v>
      </c>
      <c r="K287" s="135">
        <f t="shared" si="110"/>
        <v>0.24135494643914082</v>
      </c>
      <c r="L287" s="135">
        <f t="shared" si="111"/>
        <v>337.34421240978651</v>
      </c>
      <c r="N287" s="256">
        <f t="shared" si="100"/>
        <v>34.382318730640058</v>
      </c>
      <c r="W287" s="76"/>
      <c r="X287" s="76"/>
    </row>
    <row r="288" spans="2:24" s="74" customFormat="1">
      <c r="B288" s="140" t="str">
        <f t="shared" ref="B288:E288" si="138">+B218</f>
        <v>S51</v>
      </c>
      <c r="C288" s="140">
        <f t="shared" si="138"/>
        <v>77970</v>
      </c>
      <c r="D288" s="135">
        <f t="shared" si="138"/>
        <v>2.8</v>
      </c>
      <c r="E288" s="135">
        <f t="shared" si="138"/>
        <v>0.2732</v>
      </c>
      <c r="F288" s="135">
        <f t="shared" si="106"/>
        <v>1.08</v>
      </c>
      <c r="G288" s="135">
        <f t="shared" ref="G288:H288" si="139">+F218</f>
        <v>1</v>
      </c>
      <c r="H288" s="135">
        <f t="shared" si="139"/>
        <v>35.007111286393858</v>
      </c>
      <c r="I288" s="28">
        <f t="shared" si="108"/>
        <v>2.5</v>
      </c>
      <c r="J288" s="28">
        <f t="shared" si="109"/>
        <v>1</v>
      </c>
      <c r="K288" s="135">
        <f t="shared" si="110"/>
        <v>0.23940754602097611</v>
      </c>
      <c r="L288" s="135">
        <f t="shared" si="111"/>
        <v>335.98050555190247</v>
      </c>
      <c r="N288" s="256">
        <f t="shared" si="100"/>
        <v>35.007111286393858</v>
      </c>
      <c r="W288" s="76"/>
      <c r="X288" s="76"/>
    </row>
    <row r="289" spans="1:24" s="74" customFormat="1">
      <c r="B289" s="140" t="str">
        <f t="shared" ref="B289:E289" si="140">+B219</f>
        <v>S52</v>
      </c>
      <c r="C289" s="140">
        <f t="shared" si="140"/>
        <v>77970</v>
      </c>
      <c r="D289" s="135">
        <f t="shared" si="140"/>
        <v>9.6999999999999993</v>
      </c>
      <c r="E289" s="135">
        <f t="shared" si="140"/>
        <v>0.2732</v>
      </c>
      <c r="F289" s="135">
        <f t="shared" si="106"/>
        <v>1.5</v>
      </c>
      <c r="G289" s="135">
        <f t="shared" ref="G289:H289" si="141">+F219</f>
        <v>1</v>
      </c>
      <c r="H289" s="135">
        <f t="shared" si="141"/>
        <v>31.160913917455488</v>
      </c>
      <c r="I289" s="28">
        <f t="shared" si="108"/>
        <v>2.5</v>
      </c>
      <c r="J289" s="28">
        <f t="shared" si="109"/>
        <v>1</v>
      </c>
      <c r="K289" s="135">
        <f t="shared" si="110"/>
        <v>0.25609890700525334</v>
      </c>
      <c r="L289" s="135">
        <f t="shared" si="111"/>
        <v>347.49537138973238</v>
      </c>
      <c r="N289" s="256">
        <f t="shared" si="100"/>
        <v>31.160913917455488</v>
      </c>
      <c r="W289" s="76"/>
      <c r="X289" s="76"/>
    </row>
    <row r="290" spans="1:24" s="74" customFormat="1">
      <c r="B290" s="140" t="str">
        <f t="shared" ref="B290:E290" si="142">+B220</f>
        <v>S53</v>
      </c>
      <c r="C290" s="140">
        <f t="shared" si="142"/>
        <v>77970</v>
      </c>
      <c r="D290" s="135">
        <f t="shared" si="142"/>
        <v>3.6</v>
      </c>
      <c r="E290" s="135">
        <f t="shared" si="142"/>
        <v>0.2732</v>
      </c>
      <c r="F290" s="135">
        <f t="shared" si="106"/>
        <v>1.3</v>
      </c>
      <c r="G290" s="135">
        <f t="shared" ref="G290:H290" si="143">+F220</f>
        <v>1</v>
      </c>
      <c r="H290" s="135">
        <f t="shared" si="143"/>
        <v>32.633145828646192</v>
      </c>
      <c r="I290" s="28">
        <f t="shared" si="108"/>
        <v>2.5</v>
      </c>
      <c r="J290" s="28">
        <f t="shared" si="109"/>
        <v>1</v>
      </c>
      <c r="K290" s="135">
        <f t="shared" si="110"/>
        <v>0.24805655301596624</v>
      </c>
      <c r="L290" s="135">
        <f t="shared" si="111"/>
        <v>341.99559633274089</v>
      </c>
      <c r="N290" s="256">
        <f t="shared" si="100"/>
        <v>32.633145828646192</v>
      </c>
      <c r="W290" s="76"/>
      <c r="X290" s="76"/>
    </row>
    <row r="291" spans="1:24" s="74" customFormat="1"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</row>
    <row r="292" spans="1:24">
      <c r="A292" s="17" t="s">
        <v>73</v>
      </c>
      <c r="H292" s="63"/>
    </row>
    <row r="293" spans="1:24">
      <c r="H293" s="63"/>
    </row>
    <row r="294" spans="1:24">
      <c r="H294" s="63"/>
    </row>
    <row r="295" spans="1:24">
      <c r="H295" s="63"/>
    </row>
    <row r="296" spans="1:24">
      <c r="H296" s="63"/>
    </row>
    <row r="297" spans="1:24">
      <c r="H297" s="63"/>
    </row>
    <row r="299" spans="1:24" s="31" customFormat="1" ht="27" customHeight="1">
      <c r="C299" s="145" t="str">
        <f>B$41</f>
        <v>Pozo de</v>
      </c>
      <c r="D299" s="145" t="str">
        <f>C$41</f>
        <v>Pozo a</v>
      </c>
      <c r="E299" s="145" t="s">
        <v>222</v>
      </c>
      <c r="F299" s="129" t="s">
        <v>204</v>
      </c>
      <c r="G299" s="145" t="s">
        <v>207</v>
      </c>
      <c r="H299" s="145" t="s">
        <v>206</v>
      </c>
      <c r="I299" s="145" t="s">
        <v>211</v>
      </c>
      <c r="J299" s="145" t="s">
        <v>230</v>
      </c>
      <c r="K299" s="145" t="s">
        <v>231</v>
      </c>
      <c r="W299" s="17"/>
      <c r="X299" s="17"/>
    </row>
    <row r="300" spans="1:24" s="74" customFormat="1">
      <c r="C300" s="135">
        <f t="shared" ref="C300:G309" si="144">+B251</f>
        <v>130362</v>
      </c>
      <c r="D300" s="135" t="str">
        <f t="shared" si="144"/>
        <v>130317A</v>
      </c>
      <c r="E300" s="135">
        <f t="shared" si="144"/>
        <v>39.630000000000003</v>
      </c>
      <c r="F300" s="135">
        <f t="shared" si="144"/>
        <v>0.2732</v>
      </c>
      <c r="G300" s="135">
        <f t="shared" si="144"/>
        <v>2.85</v>
      </c>
      <c r="H300" s="135">
        <f t="shared" ref="H300:H321" si="145">+K42</f>
        <v>15.5724</v>
      </c>
      <c r="I300" s="135">
        <f t="shared" ref="I300:I321" si="146">+L104</f>
        <v>13.684395085591616</v>
      </c>
      <c r="J300" s="135">
        <f t="shared" ref="J300:J321" si="147">10*IF(G300&gt;$F$247,G300-$F$247,0)+(J251*H300/F300)+I300/F300</f>
        <v>107.08929387112597</v>
      </c>
      <c r="K300" s="135" t="str">
        <f t="shared" ref="K300:K321" si="148">IF(J300&lt;L251,"OK","NO CUMPLE")</f>
        <v>OK</v>
      </c>
    </row>
    <row r="301" spans="1:24" s="74" customFormat="1">
      <c r="C301" s="135" t="str">
        <f t="shared" si="144"/>
        <v>130317A</v>
      </c>
      <c r="D301" s="135">
        <f t="shared" si="144"/>
        <v>130317</v>
      </c>
      <c r="E301" s="135">
        <f t="shared" si="144"/>
        <v>70.36</v>
      </c>
      <c r="F301" s="135">
        <f t="shared" si="144"/>
        <v>0.2732</v>
      </c>
      <c r="G301" s="135">
        <f t="shared" si="144"/>
        <v>2.96</v>
      </c>
      <c r="H301" s="135">
        <f t="shared" si="145"/>
        <v>16.173439999999999</v>
      </c>
      <c r="I301" s="135">
        <f t="shared" si="146"/>
        <v>13.248158712941381</v>
      </c>
      <c r="J301" s="135">
        <f t="shared" si="147"/>
        <v>107.69252823184985</v>
      </c>
      <c r="K301" s="135" t="str">
        <f t="shared" si="148"/>
        <v>OK</v>
      </c>
    </row>
    <row r="302" spans="1:24" s="74" customFormat="1">
      <c r="C302" s="135" t="str">
        <f t="shared" si="144"/>
        <v>VICS-141</v>
      </c>
      <c r="D302" s="135">
        <f t="shared" si="144"/>
        <v>79879</v>
      </c>
      <c r="E302" s="135">
        <f t="shared" si="144"/>
        <v>55.38</v>
      </c>
      <c r="F302" s="135">
        <f t="shared" si="144"/>
        <v>0.2732</v>
      </c>
      <c r="G302" s="135">
        <f t="shared" si="144"/>
        <v>2.2000000000000002</v>
      </c>
      <c r="H302" s="135">
        <f t="shared" si="145"/>
        <v>12.020799999999999</v>
      </c>
      <c r="I302" s="135">
        <f t="shared" si="146"/>
        <v>16.990278375092249</v>
      </c>
      <c r="J302" s="135">
        <f t="shared" si="147"/>
        <v>106.18989156329519</v>
      </c>
      <c r="K302" s="135" t="str">
        <f t="shared" si="148"/>
        <v>OK</v>
      </c>
    </row>
    <row r="303" spans="1:24" s="74" customFormat="1">
      <c r="C303" s="135">
        <f t="shared" si="144"/>
        <v>79879</v>
      </c>
      <c r="D303" s="135">
        <f t="shared" si="144"/>
        <v>130362</v>
      </c>
      <c r="E303" s="135">
        <f t="shared" si="144"/>
        <v>49.85</v>
      </c>
      <c r="F303" s="135">
        <f t="shared" si="144"/>
        <v>0.2732</v>
      </c>
      <c r="G303" s="135">
        <f t="shared" si="144"/>
        <v>1.92</v>
      </c>
      <c r="H303" s="135">
        <f t="shared" si="145"/>
        <v>10.490879999999999</v>
      </c>
      <c r="I303" s="135">
        <f t="shared" si="146"/>
        <v>18.963749607391122</v>
      </c>
      <c r="J303" s="135">
        <f t="shared" si="147"/>
        <v>107.81343194506266</v>
      </c>
      <c r="K303" s="135" t="str">
        <f t="shared" si="148"/>
        <v>OK</v>
      </c>
    </row>
    <row r="304" spans="1:24" s="74" customFormat="1">
      <c r="C304" s="135">
        <f t="shared" si="144"/>
        <v>79879</v>
      </c>
      <c r="D304" s="135">
        <f t="shared" si="144"/>
        <v>130234</v>
      </c>
      <c r="E304" s="135">
        <f t="shared" si="144"/>
        <v>51.12</v>
      </c>
      <c r="F304" s="135">
        <f t="shared" si="144"/>
        <v>0.2732</v>
      </c>
      <c r="G304" s="135">
        <f t="shared" si="144"/>
        <v>1.46</v>
      </c>
      <c r="H304" s="135">
        <f t="shared" si="145"/>
        <v>7.9774399999999996</v>
      </c>
      <c r="I304" s="135">
        <f t="shared" si="146"/>
        <v>23.43584072416748</v>
      </c>
      <c r="J304" s="135">
        <f t="shared" si="147"/>
        <v>114.98272593033485</v>
      </c>
      <c r="K304" s="135" t="str">
        <f t="shared" si="148"/>
        <v>OK</v>
      </c>
    </row>
    <row r="305" spans="3:11" s="74" customFormat="1">
      <c r="C305" s="135">
        <f t="shared" si="144"/>
        <v>130234</v>
      </c>
      <c r="D305" s="135" t="str">
        <f t="shared" si="144"/>
        <v>VICS-130A</v>
      </c>
      <c r="E305" s="135">
        <f t="shared" si="144"/>
        <v>54.91</v>
      </c>
      <c r="F305" s="135">
        <f t="shared" si="144"/>
        <v>0.32400000000000001</v>
      </c>
      <c r="G305" s="135">
        <f t="shared" si="144"/>
        <v>2.66</v>
      </c>
      <c r="H305" s="135">
        <f t="shared" si="145"/>
        <v>17.236799999999999</v>
      </c>
      <c r="I305" s="135">
        <f t="shared" si="146"/>
        <v>14.336275256484923</v>
      </c>
      <c r="J305" s="135">
        <f t="shared" si="147"/>
        <v>97.447763137299148</v>
      </c>
      <c r="K305" s="135" t="str">
        <f t="shared" si="148"/>
        <v>OK</v>
      </c>
    </row>
    <row r="306" spans="3:11" s="74" customFormat="1">
      <c r="C306" s="135" t="str">
        <f t="shared" si="144"/>
        <v>VICS-130A</v>
      </c>
      <c r="D306" s="135">
        <f t="shared" si="144"/>
        <v>130178</v>
      </c>
      <c r="E306" s="135">
        <f t="shared" si="144"/>
        <v>55.4</v>
      </c>
      <c r="F306" s="135">
        <f t="shared" si="144"/>
        <v>0.32400000000000001</v>
      </c>
      <c r="G306" s="135">
        <f t="shared" si="144"/>
        <v>1.99</v>
      </c>
      <c r="H306" s="135">
        <f t="shared" si="145"/>
        <v>12.895200000000001</v>
      </c>
      <c r="I306" s="135">
        <f t="shared" si="146"/>
        <v>18.149849696557201</v>
      </c>
      <c r="J306" s="135">
        <f t="shared" si="147"/>
        <v>95.818054619003703</v>
      </c>
      <c r="K306" s="135" t="str">
        <f t="shared" si="148"/>
        <v>OK</v>
      </c>
    </row>
    <row r="307" spans="3:11" s="74" customFormat="1">
      <c r="C307" s="135">
        <f t="shared" si="144"/>
        <v>130178</v>
      </c>
      <c r="D307" s="135" t="str">
        <f t="shared" si="144"/>
        <v>VICS-132</v>
      </c>
      <c r="E307" s="135">
        <f t="shared" si="144"/>
        <v>48.08</v>
      </c>
      <c r="F307" s="135">
        <f t="shared" si="144"/>
        <v>0.32400000000000001</v>
      </c>
      <c r="G307" s="135">
        <f t="shared" si="144"/>
        <v>2.02</v>
      </c>
      <c r="H307" s="135">
        <f t="shared" si="145"/>
        <v>13.089600000000001</v>
      </c>
      <c r="I307" s="135">
        <f t="shared" si="146"/>
        <v>17.936214337761335</v>
      </c>
      <c r="J307" s="135">
        <f t="shared" si="147"/>
        <v>95.758686227658444</v>
      </c>
      <c r="K307" s="135" t="str">
        <f t="shared" si="148"/>
        <v>OK</v>
      </c>
    </row>
    <row r="308" spans="3:11" s="74" customFormat="1">
      <c r="C308" s="135">
        <f t="shared" si="144"/>
        <v>130317</v>
      </c>
      <c r="D308" s="135">
        <f t="shared" si="144"/>
        <v>130251</v>
      </c>
      <c r="E308" s="135">
        <f t="shared" si="144"/>
        <v>50.83</v>
      </c>
      <c r="F308" s="135">
        <f t="shared" si="144"/>
        <v>0.2732</v>
      </c>
      <c r="G308" s="135">
        <f t="shared" si="144"/>
        <v>1.64</v>
      </c>
      <c r="H308" s="135">
        <f t="shared" si="145"/>
        <v>8.9609599999999983</v>
      </c>
      <c r="I308" s="135">
        <f t="shared" si="146"/>
        <v>21.455918145672275</v>
      </c>
      <c r="J308" s="135">
        <f t="shared" si="147"/>
        <v>111.33557154345635</v>
      </c>
      <c r="K308" s="135" t="str">
        <f t="shared" si="148"/>
        <v>OK</v>
      </c>
    </row>
    <row r="309" spans="3:11" s="74" customFormat="1">
      <c r="C309" s="135">
        <f t="shared" si="144"/>
        <v>130178</v>
      </c>
      <c r="D309" s="135">
        <f t="shared" si="144"/>
        <v>130251</v>
      </c>
      <c r="E309" s="135">
        <f t="shared" si="144"/>
        <v>50.1</v>
      </c>
      <c r="F309" s="135">
        <f t="shared" si="144"/>
        <v>0.2732</v>
      </c>
      <c r="G309" s="135">
        <f t="shared" si="144"/>
        <v>1.8</v>
      </c>
      <c r="H309" s="135">
        <f t="shared" si="145"/>
        <v>9.8352000000000004</v>
      </c>
      <c r="I309" s="135">
        <f t="shared" si="146"/>
        <v>19.957216716663655</v>
      </c>
      <c r="J309" s="135">
        <f t="shared" si="147"/>
        <v>109.04984156904706</v>
      </c>
      <c r="K309" s="135" t="str">
        <f t="shared" si="148"/>
        <v>OK</v>
      </c>
    </row>
    <row r="310" spans="3:11" s="74" customFormat="1">
      <c r="C310" s="135" t="str">
        <f t="shared" ref="C310:G319" si="149">+B261</f>
        <v>PVA-01</v>
      </c>
      <c r="D310" s="135" t="str">
        <f t="shared" si="149"/>
        <v>PVA-02</v>
      </c>
      <c r="E310" s="135">
        <f t="shared" si="149"/>
        <v>6.14</v>
      </c>
      <c r="F310" s="135">
        <f t="shared" si="149"/>
        <v>0.2732</v>
      </c>
      <c r="G310" s="135">
        <f t="shared" si="149"/>
        <v>1.86</v>
      </c>
      <c r="H310" s="135">
        <f t="shared" si="145"/>
        <v>10.163039999999999</v>
      </c>
      <c r="I310" s="135">
        <f t="shared" si="146"/>
        <v>19.447803917517003</v>
      </c>
      <c r="J310" s="135">
        <f t="shared" si="147"/>
        <v>108.38522663805637</v>
      </c>
      <c r="K310" s="135" t="str">
        <f t="shared" si="148"/>
        <v>OK</v>
      </c>
    </row>
    <row r="311" spans="3:11" s="74" customFormat="1">
      <c r="C311" s="135" t="str">
        <f t="shared" si="149"/>
        <v>PVA-02</v>
      </c>
      <c r="D311" s="135">
        <f t="shared" si="149"/>
        <v>130251</v>
      </c>
      <c r="E311" s="135">
        <f t="shared" si="149"/>
        <v>11.23</v>
      </c>
      <c r="F311" s="135">
        <f t="shared" si="149"/>
        <v>0.2732</v>
      </c>
      <c r="G311" s="135">
        <f t="shared" si="149"/>
        <v>1.46</v>
      </c>
      <c r="H311" s="135">
        <f t="shared" si="145"/>
        <v>7.9774399999999996</v>
      </c>
      <c r="I311" s="135">
        <f t="shared" si="146"/>
        <v>23.43584072416748</v>
      </c>
      <c r="J311" s="135">
        <f t="shared" si="147"/>
        <v>114.98272593033485</v>
      </c>
      <c r="K311" s="135" t="str">
        <f t="shared" si="148"/>
        <v>OK</v>
      </c>
    </row>
    <row r="312" spans="3:11" s="74" customFormat="1">
      <c r="C312" s="135" t="str">
        <f t="shared" si="149"/>
        <v>PV-01</v>
      </c>
      <c r="D312" s="135" t="str">
        <f t="shared" si="149"/>
        <v>PV-02</v>
      </c>
      <c r="E312" s="135">
        <f t="shared" si="149"/>
        <v>10.09</v>
      </c>
      <c r="F312" s="135">
        <f t="shared" si="149"/>
        <v>0.32400000000000001</v>
      </c>
      <c r="G312" s="135">
        <f t="shared" si="149"/>
        <v>2.29</v>
      </c>
      <c r="H312" s="135">
        <f t="shared" si="145"/>
        <v>14.8392</v>
      </c>
      <c r="I312" s="135">
        <f t="shared" si="146"/>
        <v>16.21813390096802</v>
      </c>
      <c r="J312" s="135">
        <f t="shared" si="147"/>
        <v>95.855968830148214</v>
      </c>
      <c r="K312" s="135" t="str">
        <f t="shared" si="148"/>
        <v>OK</v>
      </c>
    </row>
    <row r="313" spans="3:11" s="74" customFormat="1">
      <c r="C313" s="135" t="str">
        <f t="shared" si="149"/>
        <v>PV-02</v>
      </c>
      <c r="D313" s="135">
        <f t="shared" si="149"/>
        <v>125889</v>
      </c>
      <c r="E313" s="135">
        <f t="shared" si="149"/>
        <v>14.58</v>
      </c>
      <c r="F313" s="135">
        <f t="shared" si="149"/>
        <v>0.32400000000000001</v>
      </c>
      <c r="G313" s="135">
        <f t="shared" si="149"/>
        <v>2.29</v>
      </c>
      <c r="H313" s="135">
        <f t="shared" si="145"/>
        <v>14.8392</v>
      </c>
      <c r="I313" s="135">
        <f t="shared" si="146"/>
        <v>16.21813390096802</v>
      </c>
      <c r="J313" s="135">
        <f t="shared" si="147"/>
        <v>95.855968830148214</v>
      </c>
      <c r="K313" s="135" t="str">
        <f t="shared" si="148"/>
        <v>OK</v>
      </c>
    </row>
    <row r="314" spans="3:11" s="74" customFormat="1">
      <c r="C314" s="135">
        <f t="shared" si="149"/>
        <v>125889</v>
      </c>
      <c r="D314" s="135">
        <f t="shared" si="149"/>
        <v>125890</v>
      </c>
      <c r="E314" s="135">
        <f t="shared" si="149"/>
        <v>53.53</v>
      </c>
      <c r="F314" s="135">
        <f t="shared" si="149"/>
        <v>0.32400000000000001</v>
      </c>
      <c r="G314" s="135">
        <f t="shared" si="149"/>
        <v>2.35</v>
      </c>
      <c r="H314" s="135">
        <f t="shared" si="145"/>
        <v>15.228</v>
      </c>
      <c r="I314" s="135">
        <f t="shared" si="146"/>
        <v>15.880105205696989</v>
      </c>
      <c r="J314" s="135">
        <f t="shared" si="147"/>
        <v>96.012670387953676</v>
      </c>
      <c r="K314" s="135" t="str">
        <f t="shared" si="148"/>
        <v>OK</v>
      </c>
    </row>
    <row r="315" spans="3:11" s="74" customFormat="1">
      <c r="C315" s="135">
        <f t="shared" si="149"/>
        <v>78120</v>
      </c>
      <c r="D315" s="135">
        <f t="shared" si="149"/>
        <v>77975</v>
      </c>
      <c r="E315" s="135">
        <f t="shared" si="149"/>
        <v>50.07</v>
      </c>
      <c r="F315" s="135">
        <f t="shared" si="149"/>
        <v>1.0649999999999999</v>
      </c>
      <c r="G315" s="135">
        <f t="shared" si="149"/>
        <v>2.77</v>
      </c>
      <c r="H315" s="135">
        <f t="shared" si="145"/>
        <v>44.521444595919114</v>
      </c>
      <c r="I315" s="135">
        <f t="shared" si="146"/>
        <v>11.860088024090803</v>
      </c>
      <c r="J315" s="135">
        <f t="shared" si="147"/>
        <v>52.940406215971755</v>
      </c>
      <c r="K315" s="135" t="str">
        <f t="shared" si="148"/>
        <v>OK</v>
      </c>
    </row>
    <row r="316" spans="3:11" s="74" customFormat="1">
      <c r="C316" s="135">
        <f t="shared" si="149"/>
        <v>77975</v>
      </c>
      <c r="D316" s="135">
        <f t="shared" si="149"/>
        <v>77724</v>
      </c>
      <c r="E316" s="135">
        <f t="shared" si="149"/>
        <v>50.46</v>
      </c>
      <c r="F316" s="135">
        <f t="shared" si="149"/>
        <v>1.0649999999999999</v>
      </c>
      <c r="G316" s="135">
        <f t="shared" si="149"/>
        <v>2.8</v>
      </c>
      <c r="H316" s="135">
        <f t="shared" si="145"/>
        <v>44.873708301274519</v>
      </c>
      <c r="I316" s="135">
        <f t="shared" si="146"/>
        <v>11.768491702293938</v>
      </c>
      <c r="J316" s="135">
        <f t="shared" si="147"/>
        <v>53.185164322599491</v>
      </c>
      <c r="K316" s="135" t="str">
        <f t="shared" si="148"/>
        <v>OK</v>
      </c>
    </row>
    <row r="317" spans="3:11" s="74" customFormat="1">
      <c r="C317" s="135">
        <f t="shared" si="149"/>
        <v>78745</v>
      </c>
      <c r="D317" s="135">
        <f t="shared" si="149"/>
        <v>77970</v>
      </c>
      <c r="E317" s="135">
        <f t="shared" si="149"/>
        <v>51.41</v>
      </c>
      <c r="F317" s="135">
        <f t="shared" si="149"/>
        <v>0.32400000000000001</v>
      </c>
      <c r="G317" s="135">
        <f t="shared" si="149"/>
        <v>1.9</v>
      </c>
      <c r="H317" s="135">
        <f t="shared" si="145"/>
        <v>12.311999999999998</v>
      </c>
      <c r="I317" s="135">
        <f t="shared" si="146"/>
        <v>18.82242221045821</v>
      </c>
      <c r="J317" s="135">
        <f t="shared" si="147"/>
        <v>96.09389571129077</v>
      </c>
      <c r="K317" s="135" t="str">
        <f t="shared" si="148"/>
        <v>OK</v>
      </c>
    </row>
    <row r="318" spans="3:11" s="74" customFormat="1">
      <c r="C318" s="135">
        <f t="shared" si="149"/>
        <v>77970</v>
      </c>
      <c r="D318" s="135" t="str">
        <f t="shared" si="149"/>
        <v>VCP-163</v>
      </c>
      <c r="E318" s="135">
        <f t="shared" si="149"/>
        <v>75.95</v>
      </c>
      <c r="F318" s="135">
        <f t="shared" si="149"/>
        <v>0.32400000000000001</v>
      </c>
      <c r="G318" s="135">
        <f t="shared" si="149"/>
        <v>2.59</v>
      </c>
      <c r="H318" s="135">
        <f t="shared" si="145"/>
        <v>16.783199999999997</v>
      </c>
      <c r="I318" s="135">
        <f t="shared" si="146"/>
        <v>14.658055059319317</v>
      </c>
      <c r="J318" s="135">
        <f t="shared" si="147"/>
        <v>97.040910676911466</v>
      </c>
      <c r="K318" s="135" t="str">
        <f t="shared" si="148"/>
        <v>OK</v>
      </c>
    </row>
    <row r="319" spans="3:11" s="74" customFormat="1">
      <c r="C319" s="135" t="str">
        <f t="shared" si="149"/>
        <v>PV-03</v>
      </c>
      <c r="D319" s="135">
        <f t="shared" si="149"/>
        <v>78745</v>
      </c>
      <c r="E319" s="135">
        <f t="shared" si="149"/>
        <v>65.150000000000006</v>
      </c>
      <c r="F319" s="135">
        <f t="shared" si="149"/>
        <v>0.32400000000000001</v>
      </c>
      <c r="G319" s="135">
        <f t="shared" si="149"/>
        <v>1.37</v>
      </c>
      <c r="H319" s="135">
        <f t="shared" si="145"/>
        <v>8.877600000000001</v>
      </c>
      <c r="I319" s="135">
        <f t="shared" si="146"/>
        <v>24.076442705590249</v>
      </c>
      <c r="J319" s="135">
        <f t="shared" si="147"/>
        <v>101.71000835058719</v>
      </c>
      <c r="K319" s="135" t="str">
        <f t="shared" si="148"/>
        <v>OK</v>
      </c>
    </row>
    <row r="320" spans="3:11" s="74" customFormat="1">
      <c r="C320" s="135" t="str">
        <f t="shared" ref="C320:G321" si="150">+B271</f>
        <v>PV-05</v>
      </c>
      <c r="D320" s="135" t="str">
        <f t="shared" si="150"/>
        <v>PV-06</v>
      </c>
      <c r="E320" s="135">
        <f t="shared" si="150"/>
        <v>28.52</v>
      </c>
      <c r="F320" s="135">
        <f t="shared" si="150"/>
        <v>0.32400000000000001</v>
      </c>
      <c r="G320" s="135">
        <f t="shared" si="150"/>
        <v>1.4</v>
      </c>
      <c r="H320" s="135">
        <f t="shared" si="145"/>
        <v>9.0719999999999992</v>
      </c>
      <c r="I320" s="135">
        <f t="shared" si="146"/>
        <v>23.701948003851566</v>
      </c>
      <c r="J320" s="135">
        <f t="shared" si="147"/>
        <v>101.15416050571471</v>
      </c>
      <c r="K320" s="135" t="str">
        <f t="shared" si="148"/>
        <v>OK</v>
      </c>
    </row>
    <row r="321" spans="3:11" s="74" customFormat="1">
      <c r="C321" s="135" t="str">
        <f t="shared" si="150"/>
        <v>PV-06</v>
      </c>
      <c r="D321" s="135">
        <f t="shared" si="150"/>
        <v>79268</v>
      </c>
      <c r="E321" s="135">
        <f t="shared" si="150"/>
        <v>9.8000000000000007</v>
      </c>
      <c r="F321" s="135">
        <f t="shared" si="150"/>
        <v>0.32400000000000001</v>
      </c>
      <c r="G321" s="135">
        <f t="shared" si="150"/>
        <v>1.1599999999999999</v>
      </c>
      <c r="H321" s="135">
        <f t="shared" si="145"/>
        <v>7.5167999999999981</v>
      </c>
      <c r="I321" s="135">
        <f t="shared" si="146"/>
        <v>27.070467811521869</v>
      </c>
      <c r="J321" s="135">
        <f t="shared" si="147"/>
        <v>106.75082657877118</v>
      </c>
      <c r="K321" s="135" t="str">
        <f t="shared" si="148"/>
        <v>OK</v>
      </c>
    </row>
    <row r="322" spans="3:11" s="74" customFormat="1">
      <c r="C322" s="312" t="str">
        <f t="shared" ref="C322" si="151">+B273</f>
        <v>SUMIDEROS</v>
      </c>
      <c r="D322" s="312"/>
      <c r="E322" s="312"/>
      <c r="F322" s="312"/>
      <c r="G322" s="312"/>
      <c r="H322" s="312"/>
      <c r="I322" s="312"/>
      <c r="J322" s="312"/>
      <c r="K322" s="312"/>
    </row>
    <row r="323" spans="3:11" s="74" customFormat="1">
      <c r="C323" s="135" t="str">
        <f t="shared" ref="C323:G323" si="152">+B274</f>
        <v>S31</v>
      </c>
      <c r="D323" s="135">
        <f t="shared" si="152"/>
        <v>77724</v>
      </c>
      <c r="E323" s="135">
        <f t="shared" si="152"/>
        <v>7.7</v>
      </c>
      <c r="F323" s="135">
        <f t="shared" si="152"/>
        <v>0.2732</v>
      </c>
      <c r="G323" s="135">
        <f t="shared" si="152"/>
        <v>1</v>
      </c>
      <c r="H323" s="135">
        <f t="shared" ref="H323:H339" si="153">+K65</f>
        <v>5.4639999999999995</v>
      </c>
      <c r="I323" s="135">
        <f t="shared" ref="I323:I339" si="154">+L127</f>
        <v>30.668085065600948</v>
      </c>
      <c r="J323" s="135">
        <f t="shared" ref="J323:J339" si="155">10*IF(G323&gt;$F$247,G323-$F$247,0)+(J274*H323/F323)+I323/F323</f>
        <v>132.25506978624065</v>
      </c>
      <c r="K323" s="135" t="str">
        <f t="shared" ref="K323:K339" si="156">IF(J323&lt;L274,"OK","NO CUMPLE")</f>
        <v>OK</v>
      </c>
    </row>
    <row r="324" spans="3:11" s="74" customFormat="1">
      <c r="C324" s="135" t="str">
        <f t="shared" ref="C324:G324" si="157">+B275</f>
        <v>S32</v>
      </c>
      <c r="D324" s="135">
        <f t="shared" si="157"/>
        <v>77724</v>
      </c>
      <c r="E324" s="135">
        <f t="shared" si="157"/>
        <v>9</v>
      </c>
      <c r="F324" s="135">
        <f t="shared" si="157"/>
        <v>0.2732</v>
      </c>
      <c r="G324" s="135">
        <f t="shared" si="157"/>
        <v>1</v>
      </c>
      <c r="H324" s="135">
        <f t="shared" si="153"/>
        <v>5.4639999999999995</v>
      </c>
      <c r="I324" s="135">
        <f t="shared" si="154"/>
        <v>30.668085065600948</v>
      </c>
      <c r="J324" s="135">
        <f t="shared" si="155"/>
        <v>132.25506978624065</v>
      </c>
      <c r="K324" s="135" t="str">
        <f t="shared" si="156"/>
        <v>OK</v>
      </c>
    </row>
    <row r="325" spans="3:11" s="74" customFormat="1">
      <c r="C325" s="135" t="str">
        <f t="shared" ref="C325:G325" si="158">+B276</f>
        <v>S33</v>
      </c>
      <c r="D325" s="135">
        <f t="shared" si="158"/>
        <v>125889</v>
      </c>
      <c r="E325" s="135">
        <f t="shared" si="158"/>
        <v>1.5</v>
      </c>
      <c r="F325" s="135">
        <f t="shared" si="158"/>
        <v>0.2732</v>
      </c>
      <c r="G325" s="135">
        <f t="shared" si="158"/>
        <v>1.1200000000000001</v>
      </c>
      <c r="H325" s="135">
        <f t="shared" si="153"/>
        <v>6.1196800000000007</v>
      </c>
      <c r="I325" s="135">
        <f t="shared" si="154"/>
        <v>28.383136868807821</v>
      </c>
      <c r="J325" s="135">
        <f t="shared" si="155"/>
        <v>126.29142338509452</v>
      </c>
      <c r="K325" s="135" t="str">
        <f t="shared" si="156"/>
        <v>OK</v>
      </c>
    </row>
    <row r="326" spans="3:11" s="74" customFormat="1">
      <c r="C326" s="135" t="str">
        <f t="shared" ref="C326:G326" si="159">+B277</f>
        <v>S34</v>
      </c>
      <c r="D326" s="135">
        <f t="shared" si="159"/>
        <v>125889</v>
      </c>
      <c r="E326" s="135">
        <f t="shared" si="159"/>
        <v>2.4</v>
      </c>
      <c r="F326" s="135">
        <f t="shared" si="159"/>
        <v>0.2732</v>
      </c>
      <c r="G326" s="135">
        <f t="shared" si="159"/>
        <v>1.1399999999999999</v>
      </c>
      <c r="H326" s="135">
        <f t="shared" si="153"/>
        <v>6.2289599999999998</v>
      </c>
      <c r="I326" s="135">
        <f t="shared" si="154"/>
        <v>28.035008717135522</v>
      </c>
      <c r="J326" s="135">
        <f t="shared" si="155"/>
        <v>125.41716221499092</v>
      </c>
      <c r="K326" s="135" t="str">
        <f t="shared" si="156"/>
        <v>OK</v>
      </c>
    </row>
    <row r="327" spans="3:11" s="74" customFormat="1">
      <c r="C327" s="135" t="str">
        <f t="shared" ref="C327:G327" si="160">+B278</f>
        <v>S35</v>
      </c>
      <c r="D327" s="135">
        <f t="shared" si="160"/>
        <v>125890</v>
      </c>
      <c r="E327" s="135">
        <f t="shared" si="160"/>
        <v>16.600000000000001</v>
      </c>
      <c r="F327" s="135">
        <f t="shared" si="160"/>
        <v>0.2732</v>
      </c>
      <c r="G327" s="135">
        <f t="shared" si="160"/>
        <v>1.1200000000000001</v>
      </c>
      <c r="H327" s="135">
        <f t="shared" si="153"/>
        <v>6.1196800000000007</v>
      </c>
      <c r="I327" s="135">
        <f t="shared" si="154"/>
        <v>28.383136868807821</v>
      </c>
      <c r="J327" s="135">
        <f t="shared" si="155"/>
        <v>126.29142338509452</v>
      </c>
      <c r="K327" s="135" t="str">
        <f t="shared" si="156"/>
        <v>OK</v>
      </c>
    </row>
    <row r="328" spans="3:11" s="74" customFormat="1">
      <c r="C328" s="135" t="str">
        <f t="shared" ref="C328:G328" si="161">+B279</f>
        <v>S36</v>
      </c>
      <c r="D328" s="135">
        <f t="shared" si="161"/>
        <v>125890</v>
      </c>
      <c r="E328" s="135">
        <f t="shared" si="161"/>
        <v>15.8</v>
      </c>
      <c r="F328" s="135">
        <f t="shared" si="161"/>
        <v>0.2732</v>
      </c>
      <c r="G328" s="135">
        <f t="shared" si="161"/>
        <v>1.1399999999999999</v>
      </c>
      <c r="H328" s="135">
        <f t="shared" si="153"/>
        <v>6.2289599999999998</v>
      </c>
      <c r="I328" s="135">
        <f t="shared" si="154"/>
        <v>28.035008717135522</v>
      </c>
      <c r="J328" s="135">
        <f t="shared" si="155"/>
        <v>125.41716221499092</v>
      </c>
      <c r="K328" s="135" t="str">
        <f t="shared" si="156"/>
        <v>OK</v>
      </c>
    </row>
    <row r="329" spans="3:11" s="74" customFormat="1">
      <c r="C329" s="135" t="str">
        <f t="shared" ref="C329:G329" si="162">+B280</f>
        <v>S37</v>
      </c>
      <c r="D329" s="135">
        <f t="shared" si="162"/>
        <v>77724</v>
      </c>
      <c r="E329" s="135">
        <f t="shared" si="162"/>
        <v>9.6999999999999993</v>
      </c>
      <c r="F329" s="135">
        <f t="shared" si="162"/>
        <v>0.2732</v>
      </c>
      <c r="G329" s="135">
        <f t="shared" si="162"/>
        <v>1</v>
      </c>
      <c r="H329" s="135">
        <f t="shared" si="153"/>
        <v>5.4639999999999995</v>
      </c>
      <c r="I329" s="135">
        <f t="shared" si="154"/>
        <v>30.668085065600948</v>
      </c>
      <c r="J329" s="135">
        <f t="shared" si="155"/>
        <v>132.25506978624065</v>
      </c>
      <c r="K329" s="135" t="str">
        <f t="shared" si="156"/>
        <v>OK</v>
      </c>
    </row>
    <row r="330" spans="3:11" s="74" customFormat="1">
      <c r="C330" s="135" t="str">
        <f t="shared" ref="C330:G330" si="163">+B281</f>
        <v>S38</v>
      </c>
      <c r="D330" s="135">
        <f t="shared" si="163"/>
        <v>77975</v>
      </c>
      <c r="E330" s="135">
        <f t="shared" si="163"/>
        <v>6.7</v>
      </c>
      <c r="F330" s="135">
        <f t="shared" si="163"/>
        <v>0.2732</v>
      </c>
      <c r="G330" s="135">
        <f t="shared" si="163"/>
        <v>1.47</v>
      </c>
      <c r="H330" s="135">
        <f t="shared" si="153"/>
        <v>8.0320799999999988</v>
      </c>
      <c r="I330" s="135">
        <f t="shared" si="154"/>
        <v>23.316307571242248</v>
      </c>
      <c r="J330" s="135">
        <f t="shared" si="155"/>
        <v>114.74519608800236</v>
      </c>
      <c r="K330" s="135" t="str">
        <f t="shared" si="156"/>
        <v>OK</v>
      </c>
    </row>
    <row r="331" spans="3:11" s="74" customFormat="1">
      <c r="C331" s="135" t="str">
        <f t="shared" ref="C331:G331" si="164">+B282</f>
        <v>S39</v>
      </c>
      <c r="D331" s="135">
        <f t="shared" si="164"/>
        <v>78120</v>
      </c>
      <c r="E331" s="135">
        <f t="shared" si="164"/>
        <v>8</v>
      </c>
      <c r="F331" s="135">
        <f t="shared" si="164"/>
        <v>0.2732</v>
      </c>
      <c r="G331" s="135">
        <f t="shared" si="164"/>
        <v>1.01</v>
      </c>
      <c r="H331" s="135">
        <f t="shared" si="153"/>
        <v>5.5186399999999995</v>
      </c>
      <c r="I331" s="135">
        <f t="shared" si="154"/>
        <v>30.463714859628912</v>
      </c>
      <c r="J331" s="135">
        <f t="shared" si="155"/>
        <v>131.70700900303407</v>
      </c>
      <c r="K331" s="135" t="str">
        <f t="shared" si="156"/>
        <v>OK</v>
      </c>
    </row>
    <row r="332" spans="3:11" s="74" customFormat="1">
      <c r="C332" s="135" t="str">
        <f t="shared" ref="C332:G332" si="165">+B283</f>
        <v>S46</v>
      </c>
      <c r="D332" s="135" t="str">
        <f t="shared" si="165"/>
        <v>PV-03</v>
      </c>
      <c r="E332" s="135">
        <f t="shared" si="165"/>
        <v>1.5</v>
      </c>
      <c r="F332" s="135">
        <f t="shared" si="165"/>
        <v>0.2732</v>
      </c>
      <c r="G332" s="135">
        <f t="shared" si="165"/>
        <v>1.7</v>
      </c>
      <c r="H332" s="135">
        <f t="shared" si="153"/>
        <v>9.2888000000000002</v>
      </c>
      <c r="I332" s="135">
        <f t="shared" si="154"/>
        <v>20.868249610350652</v>
      </c>
      <c r="J332" s="135">
        <f t="shared" si="155"/>
        <v>110.38451541123958</v>
      </c>
      <c r="K332" s="135" t="str">
        <f t="shared" si="156"/>
        <v>OK</v>
      </c>
    </row>
    <row r="333" spans="3:11" s="74" customFormat="1">
      <c r="C333" s="135" t="str">
        <f t="shared" ref="C333:G333" si="166">+B284</f>
        <v>S47</v>
      </c>
      <c r="D333" s="135" t="str">
        <f t="shared" si="166"/>
        <v>PV-03</v>
      </c>
      <c r="E333" s="135">
        <f t="shared" si="166"/>
        <v>2</v>
      </c>
      <c r="F333" s="135">
        <f t="shared" si="166"/>
        <v>0.2732</v>
      </c>
      <c r="G333" s="135">
        <f t="shared" si="166"/>
        <v>1.7</v>
      </c>
      <c r="H333" s="135">
        <f t="shared" si="153"/>
        <v>9.2888000000000002</v>
      </c>
      <c r="I333" s="135">
        <f t="shared" si="154"/>
        <v>20.868249610350652</v>
      </c>
      <c r="J333" s="135">
        <f t="shared" si="155"/>
        <v>110.38451541123958</v>
      </c>
      <c r="K333" s="135" t="str">
        <f t="shared" si="156"/>
        <v>OK</v>
      </c>
    </row>
    <row r="334" spans="3:11" s="74" customFormat="1">
      <c r="C334" s="135" t="str">
        <f t="shared" ref="C334:G334" si="167">+B285</f>
        <v>S48</v>
      </c>
      <c r="D334" s="135">
        <f t="shared" si="167"/>
        <v>78745</v>
      </c>
      <c r="E334" s="135">
        <f t="shared" si="167"/>
        <v>11.7</v>
      </c>
      <c r="F334" s="135">
        <f t="shared" si="167"/>
        <v>0.2732</v>
      </c>
      <c r="G334" s="135">
        <f t="shared" si="167"/>
        <v>1.1399999999999999</v>
      </c>
      <c r="H334" s="135">
        <f t="shared" si="153"/>
        <v>6.2289599999999998</v>
      </c>
      <c r="I334" s="135">
        <f t="shared" si="154"/>
        <v>28.035008717135522</v>
      </c>
      <c r="J334" s="135">
        <f t="shared" si="155"/>
        <v>125.41716221499092</v>
      </c>
      <c r="K334" s="135" t="str">
        <f t="shared" si="156"/>
        <v>OK</v>
      </c>
    </row>
    <row r="335" spans="3:11" s="74" customFormat="1">
      <c r="C335" s="135" t="str">
        <f t="shared" ref="C335:G335" si="168">+B286</f>
        <v>S49</v>
      </c>
      <c r="D335" s="135">
        <f t="shared" si="168"/>
        <v>78745</v>
      </c>
      <c r="E335" s="135">
        <f t="shared" si="168"/>
        <v>12.1</v>
      </c>
      <c r="F335" s="135">
        <f t="shared" si="168"/>
        <v>0.2732</v>
      </c>
      <c r="G335" s="135">
        <f t="shared" si="168"/>
        <v>1.17</v>
      </c>
      <c r="H335" s="135">
        <f t="shared" si="153"/>
        <v>6.392879999999999</v>
      </c>
      <c r="I335" s="135">
        <f t="shared" si="154"/>
        <v>27.528539352907273</v>
      </c>
      <c r="J335" s="135">
        <f t="shared" si="155"/>
        <v>124.16332120390656</v>
      </c>
      <c r="K335" s="135" t="str">
        <f t="shared" si="156"/>
        <v>OK</v>
      </c>
    </row>
    <row r="336" spans="3:11" s="74" customFormat="1">
      <c r="C336" s="135" t="str">
        <f t="shared" ref="C336:G336" si="169">+B287</f>
        <v>S50</v>
      </c>
      <c r="D336" s="135">
        <f t="shared" si="169"/>
        <v>77970</v>
      </c>
      <c r="E336" s="135">
        <f t="shared" si="169"/>
        <v>7.3</v>
      </c>
      <c r="F336" s="135">
        <f t="shared" si="169"/>
        <v>0.2732</v>
      </c>
      <c r="G336" s="135">
        <f t="shared" si="169"/>
        <v>1.1299999999999999</v>
      </c>
      <c r="H336" s="135">
        <f t="shared" si="153"/>
        <v>6.1743199999999989</v>
      </c>
      <c r="I336" s="135">
        <f t="shared" si="154"/>
        <v>28.207998730640057</v>
      </c>
      <c r="J336" s="135">
        <f t="shared" si="155"/>
        <v>125.85036138594457</v>
      </c>
      <c r="K336" s="135" t="str">
        <f t="shared" si="156"/>
        <v>OK</v>
      </c>
    </row>
    <row r="337" spans="1:11" s="74" customFormat="1">
      <c r="C337" s="135" t="str">
        <f t="shared" ref="C337:G337" si="170">+B288</f>
        <v>S51</v>
      </c>
      <c r="D337" s="135">
        <f t="shared" si="170"/>
        <v>77970</v>
      </c>
      <c r="E337" s="135">
        <f t="shared" si="170"/>
        <v>2.8</v>
      </c>
      <c r="F337" s="135">
        <f t="shared" si="170"/>
        <v>0.2732</v>
      </c>
      <c r="G337" s="135">
        <f t="shared" si="170"/>
        <v>1.08</v>
      </c>
      <c r="H337" s="135">
        <f t="shared" si="153"/>
        <v>5.9011200000000006</v>
      </c>
      <c r="I337" s="135">
        <f t="shared" si="154"/>
        <v>29.105991286393856</v>
      </c>
      <c r="J337" s="135">
        <f t="shared" si="155"/>
        <v>128.13730339089992</v>
      </c>
      <c r="K337" s="135" t="str">
        <f t="shared" si="156"/>
        <v>OK</v>
      </c>
    </row>
    <row r="338" spans="1:11" s="74" customFormat="1">
      <c r="C338" s="135" t="str">
        <f t="shared" ref="C338:G338" si="171">+B289</f>
        <v>S52</v>
      </c>
      <c r="D338" s="135">
        <f t="shared" si="171"/>
        <v>77970</v>
      </c>
      <c r="E338" s="135">
        <f t="shared" si="171"/>
        <v>9.6999999999999993</v>
      </c>
      <c r="F338" s="135">
        <f t="shared" si="171"/>
        <v>0.2732</v>
      </c>
      <c r="G338" s="135">
        <f t="shared" si="171"/>
        <v>1.5</v>
      </c>
      <c r="H338" s="135">
        <f t="shared" si="153"/>
        <v>8.1959999999999997</v>
      </c>
      <c r="I338" s="135">
        <f t="shared" si="154"/>
        <v>22.964913917455487</v>
      </c>
      <c r="J338" s="135">
        <f t="shared" si="155"/>
        <v>114.05898212831437</v>
      </c>
      <c r="K338" s="135" t="str">
        <f t="shared" si="156"/>
        <v>OK</v>
      </c>
    </row>
    <row r="339" spans="1:11" s="74" customFormat="1">
      <c r="C339" s="135" t="str">
        <f t="shared" ref="C339:G339" si="172">+B290</f>
        <v>S53</v>
      </c>
      <c r="D339" s="135">
        <f t="shared" si="172"/>
        <v>77970</v>
      </c>
      <c r="E339" s="135">
        <f t="shared" si="172"/>
        <v>3.6</v>
      </c>
      <c r="F339" s="135">
        <f t="shared" si="172"/>
        <v>0.2732</v>
      </c>
      <c r="G339" s="135">
        <f t="shared" si="172"/>
        <v>1.3</v>
      </c>
      <c r="H339" s="135">
        <f t="shared" si="153"/>
        <v>7.1032000000000002</v>
      </c>
      <c r="I339" s="135">
        <f t="shared" si="154"/>
        <v>25.529945828646195</v>
      </c>
      <c r="J339" s="135">
        <f t="shared" si="155"/>
        <v>119.44782514145753</v>
      </c>
      <c r="K339" s="135" t="str">
        <f t="shared" si="156"/>
        <v>OK</v>
      </c>
    </row>
    <row r="340" spans="1:11" s="74" customFormat="1" ht="11.25"/>
    <row r="341" spans="1:11">
      <c r="A341" s="64" t="s">
        <v>74</v>
      </c>
      <c r="B341" s="65"/>
      <c r="C341" s="65"/>
      <c r="D341" s="65"/>
      <c r="E341" s="65"/>
      <c r="F341" s="65"/>
      <c r="G341" s="65"/>
    </row>
    <row r="342" spans="1:11">
      <c r="A342" s="65"/>
      <c r="B342" s="65"/>
      <c r="C342" s="65"/>
      <c r="D342" s="65"/>
      <c r="E342" s="65"/>
      <c r="F342" s="65"/>
      <c r="G342" s="65"/>
    </row>
    <row r="343" spans="1:11">
      <c r="A343" s="65" t="s">
        <v>109</v>
      </c>
      <c r="B343" s="65"/>
      <c r="C343" s="65"/>
      <c r="D343" s="65"/>
      <c r="E343" s="65"/>
      <c r="F343" s="65"/>
      <c r="G343" s="65"/>
    </row>
    <row r="344" spans="1:11">
      <c r="A344" s="65"/>
      <c r="B344" s="65"/>
      <c r="C344" s="65"/>
      <c r="D344" s="65"/>
      <c r="E344" s="65"/>
      <c r="F344" s="65"/>
      <c r="G344" s="65"/>
    </row>
    <row r="345" spans="1:11">
      <c r="A345" s="1"/>
      <c r="B345" s="65"/>
      <c r="C345" s="65"/>
      <c r="D345" s="65"/>
      <c r="E345" s="65"/>
      <c r="F345" s="65"/>
      <c r="G345" s="65"/>
    </row>
    <row r="346" spans="1:11">
      <c r="A346" s="65"/>
      <c r="B346" s="65"/>
      <c r="C346" s="65"/>
      <c r="D346" s="65"/>
      <c r="E346" s="65"/>
      <c r="F346" s="65"/>
      <c r="G346" s="65"/>
    </row>
    <row r="347" spans="1:11">
      <c r="A347" s="65"/>
      <c r="B347" s="65"/>
      <c r="C347" s="65"/>
      <c r="D347" s="65"/>
      <c r="E347" s="65"/>
      <c r="F347" s="65"/>
      <c r="G347" s="65"/>
    </row>
    <row r="348" spans="1:11">
      <c r="A348" s="65" t="s">
        <v>2</v>
      </c>
      <c r="B348" s="65"/>
      <c r="C348" s="65"/>
      <c r="D348" s="65"/>
      <c r="E348" s="65"/>
      <c r="F348" s="65"/>
      <c r="G348" s="65"/>
    </row>
    <row r="349" spans="1:11" ht="13.5">
      <c r="A349" s="65"/>
      <c r="B349" s="66" t="s">
        <v>110</v>
      </c>
      <c r="C349" s="67" t="s">
        <v>75</v>
      </c>
      <c r="D349" s="67"/>
      <c r="E349" s="65"/>
      <c r="F349" s="65"/>
      <c r="G349" s="65"/>
    </row>
    <row r="350" spans="1:11">
      <c r="A350" s="65"/>
      <c r="B350" s="66" t="s">
        <v>26</v>
      </c>
      <c r="C350" s="67" t="s">
        <v>76</v>
      </c>
      <c r="D350" s="65"/>
      <c r="E350" s="65"/>
      <c r="F350" s="65"/>
      <c r="G350" s="65"/>
    </row>
    <row r="351" spans="1:11" ht="13.5">
      <c r="A351" s="65"/>
      <c r="B351" s="66" t="s">
        <v>77</v>
      </c>
      <c r="C351" s="65" t="s">
        <v>111</v>
      </c>
      <c r="D351" s="65"/>
      <c r="E351" s="65"/>
      <c r="F351" s="65"/>
      <c r="G351" s="65"/>
    </row>
    <row r="352" spans="1:11">
      <c r="A352" s="65"/>
      <c r="B352" s="65"/>
      <c r="C352" s="65"/>
      <c r="D352" s="65"/>
      <c r="E352" s="65"/>
      <c r="F352" s="65"/>
      <c r="G352" s="65"/>
    </row>
    <row r="353" spans="1:22" ht="14.25">
      <c r="A353" s="65" t="s">
        <v>112</v>
      </c>
      <c r="B353" s="65"/>
      <c r="C353" s="65"/>
      <c r="D353" s="65"/>
      <c r="E353" s="65"/>
      <c r="F353" s="65"/>
      <c r="G353" s="65"/>
    </row>
    <row r="354" spans="1:22">
      <c r="B354" s="65"/>
      <c r="C354" s="65"/>
      <c r="D354" s="65"/>
      <c r="E354" s="65"/>
      <c r="F354" s="65"/>
      <c r="G354" s="65"/>
      <c r="H354" s="65"/>
    </row>
    <row r="355" spans="1:22" ht="25.5">
      <c r="D355" s="149" t="str">
        <f>B41</f>
        <v>Pozo de</v>
      </c>
      <c r="E355" s="149" t="str">
        <f>C41</f>
        <v>Pozo a</v>
      </c>
      <c r="F355" s="145" t="str">
        <f>E41</f>
        <v>Diám Nominal (in)</v>
      </c>
      <c r="G355" s="145" t="s">
        <v>208</v>
      </c>
      <c r="H355" s="149" t="s">
        <v>212</v>
      </c>
      <c r="I355" s="150" t="s">
        <v>232</v>
      </c>
      <c r="J355" s="150" t="s">
        <v>233</v>
      </c>
      <c r="O355" s="126"/>
      <c r="P355" s="126"/>
      <c r="Q355" s="126"/>
      <c r="R355" s="126"/>
      <c r="S355" s="126"/>
      <c r="T355" s="126"/>
      <c r="U355" s="126"/>
      <c r="V355" s="126"/>
    </row>
    <row r="356" spans="1:22" s="74" customFormat="1">
      <c r="D356" s="151">
        <f t="shared" ref="D356:E377" si="173">+C300</f>
        <v>130362</v>
      </c>
      <c r="E356" s="151" t="str">
        <f t="shared" si="173"/>
        <v>130317A</v>
      </c>
      <c r="F356" s="151">
        <f t="shared" ref="F356:F377" si="174">+E42</f>
        <v>8</v>
      </c>
      <c r="G356" s="152">
        <f t="shared" ref="G356:G377" si="175">+F300</f>
        <v>0.2732</v>
      </c>
      <c r="H356" s="152">
        <f t="shared" ref="H356:H377" si="176">+I300+H300</f>
        <v>29.256795085591616</v>
      </c>
      <c r="I356" s="152">
        <f>2*H356/(PI()*G356)</f>
        <v>68.175161887241245</v>
      </c>
      <c r="J356" s="152" t="str">
        <f t="shared" ref="J356" si="177">IF(I356&lt;67500,"OK","Falta")</f>
        <v>OK</v>
      </c>
    </row>
    <row r="357" spans="1:22" s="74" customFormat="1">
      <c r="D357" s="151" t="str">
        <f t="shared" si="173"/>
        <v>130317A</v>
      </c>
      <c r="E357" s="151">
        <f t="shared" si="173"/>
        <v>130317</v>
      </c>
      <c r="F357" s="151">
        <f t="shared" si="174"/>
        <v>8</v>
      </c>
      <c r="G357" s="152">
        <f t="shared" si="175"/>
        <v>0.2732</v>
      </c>
      <c r="H357" s="152">
        <f t="shared" si="176"/>
        <v>29.421598712941382</v>
      </c>
      <c r="I357" s="152">
        <f t="shared" ref="I357:I377" si="178">2*H357/(PI()*G357)</f>
        <v>68.559192808649584</v>
      </c>
      <c r="J357" s="152" t="str">
        <f t="shared" ref="J357:J377" si="179">IF(I357&lt;67500,"OK","Falta")</f>
        <v>OK</v>
      </c>
    </row>
    <row r="358" spans="1:22" s="74" customFormat="1">
      <c r="D358" s="151" t="str">
        <f t="shared" si="173"/>
        <v>VICS-141</v>
      </c>
      <c r="E358" s="151">
        <f t="shared" si="173"/>
        <v>79879</v>
      </c>
      <c r="F358" s="151">
        <f t="shared" si="174"/>
        <v>8</v>
      </c>
      <c r="G358" s="152">
        <f t="shared" si="175"/>
        <v>0.2732</v>
      </c>
      <c r="H358" s="152">
        <f t="shared" si="176"/>
        <v>29.011078375092247</v>
      </c>
      <c r="I358" s="152">
        <f t="shared" si="178"/>
        <v>67.60258459476313</v>
      </c>
      <c r="J358" s="152" t="str">
        <f t="shared" si="179"/>
        <v>OK</v>
      </c>
    </row>
    <row r="359" spans="1:22" s="74" customFormat="1">
      <c r="D359" s="151">
        <f t="shared" si="173"/>
        <v>79879</v>
      </c>
      <c r="E359" s="151">
        <f t="shared" si="173"/>
        <v>130362</v>
      </c>
      <c r="F359" s="151">
        <f t="shared" si="174"/>
        <v>8</v>
      </c>
      <c r="G359" s="152">
        <f t="shared" si="175"/>
        <v>0.2732</v>
      </c>
      <c r="H359" s="152">
        <f t="shared" si="176"/>
        <v>29.454629607391119</v>
      </c>
      <c r="I359" s="152">
        <f t="shared" si="178"/>
        <v>68.636162503033518</v>
      </c>
      <c r="J359" s="152" t="str">
        <f t="shared" si="179"/>
        <v>OK</v>
      </c>
    </row>
    <row r="360" spans="1:22" s="74" customFormat="1">
      <c r="D360" s="151">
        <f t="shared" si="173"/>
        <v>79879</v>
      </c>
      <c r="E360" s="151">
        <f t="shared" si="173"/>
        <v>130234</v>
      </c>
      <c r="F360" s="151">
        <f t="shared" si="174"/>
        <v>8</v>
      </c>
      <c r="G360" s="152">
        <f t="shared" si="175"/>
        <v>0.2732</v>
      </c>
      <c r="H360" s="152">
        <f t="shared" si="176"/>
        <v>31.413280724167478</v>
      </c>
      <c r="I360" s="152">
        <f t="shared" si="178"/>
        <v>73.200276807973765</v>
      </c>
      <c r="J360" s="152" t="str">
        <f t="shared" si="179"/>
        <v>OK</v>
      </c>
    </row>
    <row r="361" spans="1:22" s="74" customFormat="1">
      <c r="D361" s="151">
        <f t="shared" si="173"/>
        <v>130234</v>
      </c>
      <c r="E361" s="151" t="str">
        <f t="shared" si="173"/>
        <v>VICS-130A</v>
      </c>
      <c r="F361" s="151">
        <f t="shared" si="174"/>
        <v>10</v>
      </c>
      <c r="G361" s="152">
        <f t="shared" si="175"/>
        <v>0.32400000000000001</v>
      </c>
      <c r="H361" s="152">
        <f t="shared" si="176"/>
        <v>31.57307525648492</v>
      </c>
      <c r="I361" s="152">
        <f t="shared" si="178"/>
        <v>62.037172786197367</v>
      </c>
      <c r="J361" s="152" t="str">
        <f t="shared" si="179"/>
        <v>OK</v>
      </c>
    </row>
    <row r="362" spans="1:22" s="74" customFormat="1">
      <c r="D362" s="151" t="str">
        <f t="shared" si="173"/>
        <v>VICS-130A</v>
      </c>
      <c r="E362" s="151">
        <f t="shared" si="173"/>
        <v>130178</v>
      </c>
      <c r="F362" s="151">
        <f t="shared" si="174"/>
        <v>10</v>
      </c>
      <c r="G362" s="152">
        <f t="shared" si="175"/>
        <v>0.32400000000000001</v>
      </c>
      <c r="H362" s="152">
        <f t="shared" si="176"/>
        <v>31.0450496965572</v>
      </c>
      <c r="I362" s="152">
        <f t="shared" si="178"/>
        <v>60.999668120254618</v>
      </c>
      <c r="J362" s="152" t="str">
        <f t="shared" si="179"/>
        <v>OK</v>
      </c>
    </row>
    <row r="363" spans="1:22" s="74" customFormat="1">
      <c r="D363" s="151">
        <f t="shared" si="173"/>
        <v>130178</v>
      </c>
      <c r="E363" s="151" t="str">
        <f t="shared" si="173"/>
        <v>VICS-132</v>
      </c>
      <c r="F363" s="151">
        <f t="shared" si="174"/>
        <v>10</v>
      </c>
      <c r="G363" s="152">
        <f t="shared" si="175"/>
        <v>0.32400000000000001</v>
      </c>
      <c r="H363" s="152">
        <f t="shared" si="176"/>
        <v>31.025814337761336</v>
      </c>
      <c r="I363" s="152">
        <f t="shared" si="178"/>
        <v>60.961873028470571</v>
      </c>
      <c r="J363" s="152" t="str">
        <f t="shared" si="179"/>
        <v>OK</v>
      </c>
    </row>
    <row r="364" spans="1:22" s="74" customFormat="1">
      <c r="D364" s="151">
        <f t="shared" si="173"/>
        <v>130317</v>
      </c>
      <c r="E364" s="151">
        <f t="shared" si="173"/>
        <v>130251</v>
      </c>
      <c r="F364" s="151">
        <f t="shared" si="174"/>
        <v>8</v>
      </c>
      <c r="G364" s="152">
        <f t="shared" si="175"/>
        <v>0.2732</v>
      </c>
      <c r="H364" s="152">
        <f t="shared" si="176"/>
        <v>30.416878145672271</v>
      </c>
      <c r="I364" s="152">
        <f t="shared" si="178"/>
        <v>70.878426212409749</v>
      </c>
      <c r="J364" s="152" t="str">
        <f t="shared" si="179"/>
        <v>OK</v>
      </c>
    </row>
    <row r="365" spans="1:22" s="74" customFormat="1">
      <c r="D365" s="151">
        <f t="shared" si="173"/>
        <v>130178</v>
      </c>
      <c r="E365" s="151">
        <f t="shared" si="173"/>
        <v>130251</v>
      </c>
      <c r="F365" s="151">
        <f t="shared" si="174"/>
        <v>8</v>
      </c>
      <c r="G365" s="152">
        <f t="shared" si="175"/>
        <v>0.2732</v>
      </c>
      <c r="H365" s="152">
        <f t="shared" si="176"/>
        <v>29.792416716663656</v>
      </c>
      <c r="I365" s="152">
        <f t="shared" si="178"/>
        <v>69.423285316407558</v>
      </c>
      <c r="J365" s="152" t="str">
        <f t="shared" si="179"/>
        <v>OK</v>
      </c>
    </row>
    <row r="366" spans="1:22" s="74" customFormat="1">
      <c r="D366" s="151" t="str">
        <f t="shared" si="173"/>
        <v>PVA-01</v>
      </c>
      <c r="E366" s="151" t="str">
        <f t="shared" si="173"/>
        <v>PVA-02</v>
      </c>
      <c r="F366" s="151">
        <f t="shared" si="174"/>
        <v>8</v>
      </c>
      <c r="G366" s="152">
        <f t="shared" si="175"/>
        <v>0.2732</v>
      </c>
      <c r="H366" s="152">
        <f t="shared" si="176"/>
        <v>29.610843917517002</v>
      </c>
      <c r="I366" s="152">
        <f t="shared" si="178"/>
        <v>69.000178310328167</v>
      </c>
      <c r="J366" s="152" t="str">
        <f t="shared" si="179"/>
        <v>OK</v>
      </c>
    </row>
    <row r="367" spans="1:22" s="74" customFormat="1">
      <c r="D367" s="151" t="str">
        <f t="shared" si="173"/>
        <v>PVA-02</v>
      </c>
      <c r="E367" s="151">
        <f t="shared" si="173"/>
        <v>130251</v>
      </c>
      <c r="F367" s="151">
        <f t="shared" si="174"/>
        <v>8</v>
      </c>
      <c r="G367" s="152">
        <f t="shared" si="175"/>
        <v>0.2732</v>
      </c>
      <c r="H367" s="152">
        <f t="shared" si="176"/>
        <v>31.413280724167478</v>
      </c>
      <c r="I367" s="152">
        <f t="shared" si="178"/>
        <v>73.200276807973765</v>
      </c>
      <c r="J367" s="152" t="str">
        <f t="shared" si="179"/>
        <v>OK</v>
      </c>
    </row>
    <row r="368" spans="1:22" s="74" customFormat="1">
      <c r="D368" s="151" t="str">
        <f t="shared" si="173"/>
        <v>PV-01</v>
      </c>
      <c r="E368" s="151" t="str">
        <f t="shared" si="173"/>
        <v>PV-02</v>
      </c>
      <c r="F368" s="151">
        <f t="shared" si="174"/>
        <v>12</v>
      </c>
      <c r="G368" s="152">
        <f t="shared" si="175"/>
        <v>0.32400000000000001</v>
      </c>
      <c r="H368" s="152">
        <f t="shared" si="176"/>
        <v>31.057333900968018</v>
      </c>
      <c r="I368" s="152">
        <f t="shared" si="178"/>
        <v>61.023805056722928</v>
      </c>
      <c r="J368" s="152" t="str">
        <f t="shared" si="179"/>
        <v>OK</v>
      </c>
    </row>
    <row r="369" spans="4:10" s="74" customFormat="1">
      <c r="D369" s="151" t="str">
        <f t="shared" si="173"/>
        <v>PV-02</v>
      </c>
      <c r="E369" s="151">
        <f t="shared" si="173"/>
        <v>125889</v>
      </c>
      <c r="F369" s="151">
        <f t="shared" si="174"/>
        <v>12</v>
      </c>
      <c r="G369" s="152">
        <f t="shared" si="175"/>
        <v>0.32400000000000001</v>
      </c>
      <c r="H369" s="152">
        <f t="shared" si="176"/>
        <v>31.057333900968018</v>
      </c>
      <c r="I369" s="152">
        <f t="shared" si="178"/>
        <v>61.023805056722928</v>
      </c>
      <c r="J369" s="152" t="str">
        <f t="shared" si="179"/>
        <v>OK</v>
      </c>
    </row>
    <row r="370" spans="4:10" s="74" customFormat="1">
      <c r="D370" s="151">
        <f t="shared" si="173"/>
        <v>125889</v>
      </c>
      <c r="E370" s="151">
        <f t="shared" si="173"/>
        <v>125890</v>
      </c>
      <c r="F370" s="151">
        <f t="shared" si="174"/>
        <v>12</v>
      </c>
      <c r="G370" s="152">
        <f t="shared" si="175"/>
        <v>0.32400000000000001</v>
      </c>
      <c r="H370" s="152">
        <f t="shared" si="176"/>
        <v>31.108105205696987</v>
      </c>
      <c r="I370" s="152">
        <f t="shared" si="178"/>
        <v>61.123564366782681</v>
      </c>
      <c r="J370" s="152" t="str">
        <f t="shared" si="179"/>
        <v>OK</v>
      </c>
    </row>
    <row r="371" spans="4:10" s="74" customFormat="1">
      <c r="D371" s="151">
        <f t="shared" si="173"/>
        <v>78120</v>
      </c>
      <c r="E371" s="151">
        <f t="shared" si="173"/>
        <v>77975</v>
      </c>
      <c r="F371" s="151">
        <f t="shared" si="174"/>
        <v>36</v>
      </c>
      <c r="G371" s="152">
        <f t="shared" si="175"/>
        <v>1.0649999999999999</v>
      </c>
      <c r="H371" s="152">
        <f t="shared" si="176"/>
        <v>56.381532620009921</v>
      </c>
      <c r="I371" s="152">
        <f t="shared" si="178"/>
        <v>33.702909354259234</v>
      </c>
      <c r="J371" s="152" t="str">
        <f t="shared" si="179"/>
        <v>OK</v>
      </c>
    </row>
    <row r="372" spans="4:10" s="74" customFormat="1">
      <c r="D372" s="151">
        <f t="shared" si="173"/>
        <v>77975</v>
      </c>
      <c r="E372" s="151">
        <f t="shared" si="173"/>
        <v>77724</v>
      </c>
      <c r="F372" s="151">
        <f t="shared" si="174"/>
        <v>36</v>
      </c>
      <c r="G372" s="152">
        <f t="shared" si="175"/>
        <v>1.0649999999999999</v>
      </c>
      <c r="H372" s="152">
        <f t="shared" si="176"/>
        <v>56.642200003568455</v>
      </c>
      <c r="I372" s="152">
        <f t="shared" si="178"/>
        <v>33.858727204385701</v>
      </c>
      <c r="J372" s="152" t="str">
        <f t="shared" si="179"/>
        <v>OK</v>
      </c>
    </row>
    <row r="373" spans="4:10" s="74" customFormat="1">
      <c r="D373" s="151">
        <f t="shared" si="173"/>
        <v>78745</v>
      </c>
      <c r="E373" s="151">
        <f t="shared" si="173"/>
        <v>77970</v>
      </c>
      <c r="F373" s="151">
        <f t="shared" si="174"/>
        <v>12</v>
      </c>
      <c r="G373" s="152">
        <f t="shared" si="175"/>
        <v>0.32400000000000001</v>
      </c>
      <c r="H373" s="152">
        <f t="shared" si="176"/>
        <v>31.134422210458208</v>
      </c>
      <c r="I373" s="152">
        <f t="shared" si="178"/>
        <v>61.175274013636034</v>
      </c>
      <c r="J373" s="152" t="str">
        <f t="shared" si="179"/>
        <v>OK</v>
      </c>
    </row>
    <row r="374" spans="4:10" s="74" customFormat="1">
      <c r="D374" s="151">
        <f t="shared" si="173"/>
        <v>77970</v>
      </c>
      <c r="E374" s="151" t="str">
        <f t="shared" si="173"/>
        <v>VCP-163</v>
      </c>
      <c r="F374" s="151">
        <f t="shared" si="174"/>
        <v>12</v>
      </c>
      <c r="G374" s="152">
        <f t="shared" si="175"/>
        <v>0.32400000000000001</v>
      </c>
      <c r="H374" s="152">
        <f t="shared" si="176"/>
        <v>31.441255059319314</v>
      </c>
      <c r="I374" s="152">
        <f t="shared" si="178"/>
        <v>61.778162465478175</v>
      </c>
      <c r="J374" s="152" t="str">
        <f t="shared" si="179"/>
        <v>OK</v>
      </c>
    </row>
    <row r="375" spans="4:10" s="74" customFormat="1">
      <c r="D375" s="151" t="str">
        <f t="shared" si="173"/>
        <v>PV-03</v>
      </c>
      <c r="E375" s="151">
        <f t="shared" si="173"/>
        <v>78745</v>
      </c>
      <c r="F375" s="151">
        <f t="shared" si="174"/>
        <v>12</v>
      </c>
      <c r="G375" s="152">
        <f t="shared" si="175"/>
        <v>0.32400000000000001</v>
      </c>
      <c r="H375" s="152">
        <f t="shared" si="176"/>
        <v>32.954042705590254</v>
      </c>
      <c r="I375" s="152">
        <f t="shared" si="178"/>
        <v>64.750602363655631</v>
      </c>
      <c r="J375" s="152" t="str">
        <f t="shared" si="179"/>
        <v>OK</v>
      </c>
    </row>
    <row r="376" spans="4:10" s="74" customFormat="1">
      <c r="D376" s="151" t="str">
        <f t="shared" si="173"/>
        <v>PV-05</v>
      </c>
      <c r="E376" s="151" t="str">
        <f t="shared" si="173"/>
        <v>PV-06</v>
      </c>
      <c r="F376" s="151">
        <f t="shared" si="174"/>
        <v>12</v>
      </c>
      <c r="G376" s="152">
        <f t="shared" si="175"/>
        <v>0.32400000000000001</v>
      </c>
      <c r="H376" s="152">
        <f t="shared" si="176"/>
        <v>32.773948003851565</v>
      </c>
      <c r="I376" s="152">
        <f t="shared" si="178"/>
        <v>64.39673863518189</v>
      </c>
      <c r="J376" s="152" t="str">
        <f t="shared" si="179"/>
        <v>OK</v>
      </c>
    </row>
    <row r="377" spans="4:10" s="74" customFormat="1">
      <c r="D377" s="151" t="str">
        <f t="shared" si="173"/>
        <v>PV-06</v>
      </c>
      <c r="E377" s="151">
        <f t="shared" si="173"/>
        <v>79268</v>
      </c>
      <c r="F377" s="151">
        <f t="shared" si="174"/>
        <v>12</v>
      </c>
      <c r="G377" s="152">
        <f t="shared" si="175"/>
        <v>0.32400000000000001</v>
      </c>
      <c r="H377" s="152">
        <f t="shared" si="176"/>
        <v>34.587267811521869</v>
      </c>
      <c r="I377" s="152">
        <f t="shared" si="178"/>
        <v>67.959686916628485</v>
      </c>
      <c r="J377" s="152" t="str">
        <f t="shared" si="179"/>
        <v>OK</v>
      </c>
    </row>
    <row r="378" spans="4:10" s="74" customFormat="1">
      <c r="D378" s="289" t="str">
        <f t="shared" ref="D378" si="180">+C322</f>
        <v>SUMIDEROS</v>
      </c>
      <c r="E378" s="290"/>
      <c r="F378" s="290"/>
      <c r="G378" s="290"/>
      <c r="H378" s="290"/>
      <c r="I378" s="290"/>
      <c r="J378" s="291"/>
    </row>
    <row r="379" spans="4:10" s="74" customFormat="1">
      <c r="D379" s="151" t="str">
        <f t="shared" ref="D379:E379" si="181">+C323</f>
        <v>S31</v>
      </c>
      <c r="E379" s="151">
        <f t="shared" si="181"/>
        <v>77724</v>
      </c>
      <c r="F379" s="151">
        <f t="shared" ref="F379:F395" si="182">+E65</f>
        <v>10</v>
      </c>
      <c r="G379" s="152">
        <f t="shared" ref="G379:G395" si="183">+F323</f>
        <v>0.2732</v>
      </c>
      <c r="H379" s="152">
        <f t="shared" ref="H379:H395" si="184">+I323+H323</f>
        <v>36.132085065600947</v>
      </c>
      <c r="I379" s="152">
        <f t="shared" ref="I379:I391" si="185">2*H379/(PI()*G379)</f>
        <v>84.196192421775123</v>
      </c>
      <c r="J379" s="152" t="str">
        <f t="shared" ref="J379:J391" si="186">IF(I379&lt;67500,"OK","Falta")</f>
        <v>OK</v>
      </c>
    </row>
    <row r="380" spans="4:10" s="74" customFormat="1">
      <c r="D380" s="151" t="str">
        <f t="shared" ref="D380:E380" si="187">+C324</f>
        <v>S32</v>
      </c>
      <c r="E380" s="151">
        <f t="shared" si="187"/>
        <v>77724</v>
      </c>
      <c r="F380" s="151">
        <f t="shared" si="182"/>
        <v>10</v>
      </c>
      <c r="G380" s="152">
        <f t="shared" si="183"/>
        <v>0.2732</v>
      </c>
      <c r="H380" s="152">
        <f t="shared" si="184"/>
        <v>36.132085065600947</v>
      </c>
      <c r="I380" s="152">
        <f t="shared" si="185"/>
        <v>84.196192421775123</v>
      </c>
      <c r="J380" s="152" t="str">
        <f t="shared" si="186"/>
        <v>OK</v>
      </c>
    </row>
    <row r="381" spans="4:10" s="74" customFormat="1">
      <c r="D381" s="151" t="str">
        <f t="shared" ref="D381:E381" si="188">+C325</f>
        <v>S33</v>
      </c>
      <c r="E381" s="151">
        <f t="shared" si="188"/>
        <v>125889</v>
      </c>
      <c r="F381" s="151">
        <f t="shared" si="182"/>
        <v>10</v>
      </c>
      <c r="G381" s="152">
        <f t="shared" si="183"/>
        <v>0.2732</v>
      </c>
      <c r="H381" s="152">
        <f t="shared" si="184"/>
        <v>34.50281686880782</v>
      </c>
      <c r="I381" s="152">
        <f t="shared" si="185"/>
        <v>80.399617207396716</v>
      </c>
      <c r="J381" s="152" t="str">
        <f t="shared" si="186"/>
        <v>OK</v>
      </c>
    </row>
    <row r="382" spans="4:10" s="74" customFormat="1">
      <c r="D382" s="151" t="str">
        <f t="shared" ref="D382:E382" si="189">+C326</f>
        <v>S34</v>
      </c>
      <c r="E382" s="151">
        <f t="shared" si="189"/>
        <v>125889</v>
      </c>
      <c r="F382" s="151">
        <f t="shared" si="182"/>
        <v>10</v>
      </c>
      <c r="G382" s="152">
        <f t="shared" si="183"/>
        <v>0.2732</v>
      </c>
      <c r="H382" s="152">
        <f t="shared" si="184"/>
        <v>34.263968717135519</v>
      </c>
      <c r="I382" s="152">
        <f t="shared" si="185"/>
        <v>79.843045260295554</v>
      </c>
      <c r="J382" s="152" t="str">
        <f t="shared" si="186"/>
        <v>OK</v>
      </c>
    </row>
    <row r="383" spans="4:10" s="74" customFormat="1">
      <c r="D383" s="151" t="str">
        <f t="shared" ref="D383:E383" si="190">+C327</f>
        <v>S35</v>
      </c>
      <c r="E383" s="151">
        <f t="shared" si="190"/>
        <v>125890</v>
      </c>
      <c r="F383" s="151">
        <f t="shared" si="182"/>
        <v>10</v>
      </c>
      <c r="G383" s="152">
        <f t="shared" si="183"/>
        <v>0.2732</v>
      </c>
      <c r="H383" s="152">
        <f t="shared" si="184"/>
        <v>34.50281686880782</v>
      </c>
      <c r="I383" s="152">
        <f t="shared" si="185"/>
        <v>80.399617207396716</v>
      </c>
      <c r="J383" s="152" t="str">
        <f t="shared" si="186"/>
        <v>OK</v>
      </c>
    </row>
    <row r="384" spans="4:10" s="74" customFormat="1">
      <c r="D384" s="151" t="str">
        <f t="shared" ref="D384:E384" si="191">+C328</f>
        <v>S36</v>
      </c>
      <c r="E384" s="151">
        <f t="shared" si="191"/>
        <v>125890</v>
      </c>
      <c r="F384" s="151">
        <f t="shared" si="182"/>
        <v>10</v>
      </c>
      <c r="G384" s="152">
        <f t="shared" si="183"/>
        <v>0.2732</v>
      </c>
      <c r="H384" s="152">
        <f t="shared" si="184"/>
        <v>34.263968717135519</v>
      </c>
      <c r="I384" s="152">
        <f t="shared" si="185"/>
        <v>79.843045260295554</v>
      </c>
      <c r="J384" s="152" t="str">
        <f t="shared" si="186"/>
        <v>OK</v>
      </c>
    </row>
    <row r="385" spans="1:13" s="74" customFormat="1">
      <c r="D385" s="151" t="str">
        <f t="shared" ref="D385:E385" si="192">+C329</f>
        <v>S37</v>
      </c>
      <c r="E385" s="151">
        <f t="shared" si="192"/>
        <v>77724</v>
      </c>
      <c r="F385" s="151">
        <f t="shared" si="182"/>
        <v>10</v>
      </c>
      <c r="G385" s="152">
        <f t="shared" si="183"/>
        <v>0.2732</v>
      </c>
      <c r="H385" s="152">
        <f t="shared" si="184"/>
        <v>36.132085065600947</v>
      </c>
      <c r="I385" s="152">
        <f t="shared" si="185"/>
        <v>84.196192421775123</v>
      </c>
      <c r="J385" s="152" t="str">
        <f t="shared" si="186"/>
        <v>OK</v>
      </c>
    </row>
    <row r="386" spans="1:13" s="74" customFormat="1">
      <c r="D386" s="151" t="str">
        <f t="shared" ref="D386:E386" si="193">+C330</f>
        <v>S38</v>
      </c>
      <c r="E386" s="151">
        <f t="shared" si="193"/>
        <v>77975</v>
      </c>
      <c r="F386" s="151">
        <f t="shared" si="182"/>
        <v>10</v>
      </c>
      <c r="G386" s="152">
        <f t="shared" si="183"/>
        <v>0.2732</v>
      </c>
      <c r="H386" s="152">
        <f t="shared" si="184"/>
        <v>31.348387571242249</v>
      </c>
      <c r="I386" s="152">
        <f t="shared" si="185"/>
        <v>73.049060613817559</v>
      </c>
      <c r="J386" s="152" t="str">
        <f t="shared" si="186"/>
        <v>OK</v>
      </c>
    </row>
    <row r="387" spans="1:13" s="74" customFormat="1">
      <c r="D387" s="151" t="str">
        <f t="shared" ref="D387:E387" si="194">+C331</f>
        <v>S39</v>
      </c>
      <c r="E387" s="151">
        <f t="shared" si="194"/>
        <v>78120</v>
      </c>
      <c r="F387" s="151">
        <f t="shared" si="182"/>
        <v>10</v>
      </c>
      <c r="G387" s="152">
        <f t="shared" si="183"/>
        <v>0.2732</v>
      </c>
      <c r="H387" s="152">
        <f t="shared" si="184"/>
        <v>35.982354859628913</v>
      </c>
      <c r="I387" s="152">
        <f t="shared" si="185"/>
        <v>83.847286090726556</v>
      </c>
      <c r="J387" s="152" t="str">
        <f t="shared" si="186"/>
        <v>OK</v>
      </c>
    </row>
    <row r="388" spans="1:13">
      <c r="D388" s="151" t="str">
        <f t="shared" ref="D388:E388" si="195">+C332</f>
        <v>S46</v>
      </c>
      <c r="E388" s="151" t="str">
        <f t="shared" si="195"/>
        <v>PV-03</v>
      </c>
      <c r="F388" s="151">
        <f t="shared" si="182"/>
        <v>10</v>
      </c>
      <c r="G388" s="152">
        <f t="shared" si="183"/>
        <v>0.2732</v>
      </c>
      <c r="H388" s="152">
        <f t="shared" si="184"/>
        <v>30.157049610350654</v>
      </c>
      <c r="I388" s="152">
        <f t="shared" si="185"/>
        <v>70.272965074009122</v>
      </c>
      <c r="J388" s="152" t="str">
        <f t="shared" si="186"/>
        <v>OK</v>
      </c>
    </row>
    <row r="389" spans="1:13">
      <c r="D389" s="151" t="str">
        <f t="shared" ref="D389:E389" si="196">+C333</f>
        <v>S47</v>
      </c>
      <c r="E389" s="151" t="str">
        <f t="shared" si="196"/>
        <v>PV-03</v>
      </c>
      <c r="F389" s="151">
        <f t="shared" si="182"/>
        <v>10</v>
      </c>
      <c r="G389" s="152">
        <f t="shared" si="183"/>
        <v>0.2732</v>
      </c>
      <c r="H389" s="152">
        <f t="shared" si="184"/>
        <v>30.157049610350654</v>
      </c>
      <c r="I389" s="152">
        <f t="shared" si="185"/>
        <v>70.272965074009122</v>
      </c>
      <c r="J389" s="152" t="str">
        <f t="shared" si="186"/>
        <v>OK</v>
      </c>
    </row>
    <row r="390" spans="1:13">
      <c r="D390" s="151" t="str">
        <f t="shared" ref="D390:E390" si="197">+C334</f>
        <v>S48</v>
      </c>
      <c r="E390" s="151">
        <f t="shared" si="197"/>
        <v>78745</v>
      </c>
      <c r="F390" s="151">
        <f t="shared" si="182"/>
        <v>10</v>
      </c>
      <c r="G390" s="152">
        <f t="shared" si="183"/>
        <v>0.2732</v>
      </c>
      <c r="H390" s="152">
        <f t="shared" si="184"/>
        <v>34.263968717135519</v>
      </c>
      <c r="I390" s="152">
        <f t="shared" si="185"/>
        <v>79.843045260295554</v>
      </c>
      <c r="J390" s="152" t="str">
        <f t="shared" si="186"/>
        <v>OK</v>
      </c>
    </row>
    <row r="391" spans="1:13">
      <c r="D391" s="151" t="str">
        <f t="shared" ref="D391:E391" si="198">+C335</f>
        <v>S49</v>
      </c>
      <c r="E391" s="151">
        <f t="shared" si="198"/>
        <v>78745</v>
      </c>
      <c r="F391" s="151">
        <f t="shared" si="182"/>
        <v>10</v>
      </c>
      <c r="G391" s="152">
        <f t="shared" si="183"/>
        <v>0.2732</v>
      </c>
      <c r="H391" s="152">
        <f t="shared" si="184"/>
        <v>33.921419352907272</v>
      </c>
      <c r="I391" s="152">
        <f t="shared" si="185"/>
        <v>79.044825281233884</v>
      </c>
      <c r="J391" s="152" t="str">
        <f t="shared" si="186"/>
        <v>OK</v>
      </c>
    </row>
    <row r="392" spans="1:13">
      <c r="D392" s="151" t="str">
        <f t="shared" ref="D392:E392" si="199">+C336</f>
        <v>S50</v>
      </c>
      <c r="E392" s="151">
        <f t="shared" si="199"/>
        <v>77970</v>
      </c>
      <c r="F392" s="151">
        <f t="shared" si="182"/>
        <v>10</v>
      </c>
      <c r="G392" s="152">
        <f t="shared" si="183"/>
        <v>0.2732</v>
      </c>
      <c r="H392" s="152">
        <f t="shared" si="184"/>
        <v>34.382318730640058</v>
      </c>
      <c r="I392" s="152">
        <f t="shared" ref="I392:I395" si="200">2*H392/(PI()*G392)</f>
        <v>80.118828417897888</v>
      </c>
      <c r="J392" s="152" t="str">
        <f t="shared" ref="J392:J395" si="201">IF(I392&lt;67500,"OK","Falta")</f>
        <v>OK</v>
      </c>
    </row>
    <row r="393" spans="1:13">
      <c r="D393" s="151" t="str">
        <f t="shared" ref="D393:E393" si="202">+C337</f>
        <v>S51</v>
      </c>
      <c r="E393" s="151">
        <f t="shared" si="202"/>
        <v>77970</v>
      </c>
      <c r="F393" s="151">
        <f t="shared" si="182"/>
        <v>10</v>
      </c>
      <c r="G393" s="152">
        <f t="shared" si="183"/>
        <v>0.2732</v>
      </c>
      <c r="H393" s="152">
        <f t="shared" si="184"/>
        <v>35.007111286393858</v>
      </c>
      <c r="I393" s="152">
        <f t="shared" si="200"/>
        <v>81.574740916510422</v>
      </c>
      <c r="J393" s="152" t="str">
        <f t="shared" si="201"/>
        <v>OK</v>
      </c>
    </row>
    <row r="394" spans="1:13">
      <c r="D394" s="151" t="str">
        <f t="shared" ref="D394:E394" si="203">+C338</f>
        <v>S52</v>
      </c>
      <c r="E394" s="151">
        <f t="shared" si="203"/>
        <v>77970</v>
      </c>
      <c r="F394" s="151">
        <f t="shared" si="182"/>
        <v>10</v>
      </c>
      <c r="G394" s="152">
        <f t="shared" si="183"/>
        <v>0.2732</v>
      </c>
      <c r="H394" s="152">
        <f t="shared" si="184"/>
        <v>31.160913917455488</v>
      </c>
      <c r="I394" s="152">
        <f t="shared" si="200"/>
        <v>72.612203239005538</v>
      </c>
      <c r="J394" s="152" t="str">
        <f t="shared" si="201"/>
        <v>OK</v>
      </c>
    </row>
    <row r="395" spans="1:13">
      <c r="D395" s="151" t="str">
        <f t="shared" ref="D395:E395" si="204">+C339</f>
        <v>S53</v>
      </c>
      <c r="E395" s="151">
        <f t="shared" si="204"/>
        <v>77970</v>
      </c>
      <c r="F395" s="151">
        <f t="shared" si="182"/>
        <v>10</v>
      </c>
      <c r="G395" s="152">
        <f t="shared" si="183"/>
        <v>0.2732</v>
      </c>
      <c r="H395" s="152">
        <f t="shared" si="184"/>
        <v>32.633145828646192</v>
      </c>
      <c r="I395" s="152">
        <f t="shared" si="200"/>
        <v>76.042847251357344</v>
      </c>
      <c r="J395" s="152" t="str">
        <f t="shared" si="201"/>
        <v>OK</v>
      </c>
    </row>
    <row r="396" spans="1:13">
      <c r="D396" s="218"/>
      <c r="E396" s="218"/>
      <c r="F396" s="218"/>
      <c r="G396" s="219"/>
      <c r="H396" s="219"/>
      <c r="I396" s="219"/>
      <c r="J396" s="219"/>
    </row>
    <row r="397" spans="1:13" s="74" customFormat="1">
      <c r="A397" s="64" t="s">
        <v>240</v>
      </c>
    </row>
    <row r="398" spans="1:13" s="74" customFormat="1">
      <c r="A398" s="65"/>
    </row>
    <row r="399" spans="1:13" s="74" customFormat="1" ht="35.25" customHeight="1">
      <c r="A399" s="292" t="s">
        <v>379</v>
      </c>
      <c r="B399" s="292"/>
      <c r="C399" s="292"/>
      <c r="D399" s="292"/>
      <c r="E399" s="292"/>
      <c r="F399" s="292"/>
      <c r="G399" s="292"/>
      <c r="H399" s="292"/>
      <c r="I399" s="292"/>
      <c r="J399" s="292"/>
      <c r="K399" s="292"/>
      <c r="L399" s="292"/>
      <c r="M399" s="292"/>
    </row>
    <row r="400" spans="1:13">
      <c r="J400" s="126"/>
      <c r="K400" s="126"/>
      <c r="L400" s="126"/>
      <c r="M400" s="126"/>
    </row>
    <row r="401" spans="4:15">
      <c r="D401" s="286" t="s">
        <v>128</v>
      </c>
      <c r="E401" s="286" t="s">
        <v>129</v>
      </c>
      <c r="F401" s="286" t="s">
        <v>134</v>
      </c>
      <c r="G401" s="274" t="s">
        <v>399</v>
      </c>
      <c r="H401" s="299" t="s">
        <v>135</v>
      </c>
      <c r="I401" s="286" t="s">
        <v>131</v>
      </c>
      <c r="J401" s="126"/>
      <c r="K401" s="126"/>
      <c r="L401" s="126"/>
      <c r="M401" s="126"/>
    </row>
    <row r="402" spans="4:15">
      <c r="D402" s="287"/>
      <c r="E402" s="287"/>
      <c r="F402" s="287"/>
      <c r="G402" s="275"/>
      <c r="H402" s="300"/>
      <c r="I402" s="287"/>
      <c r="J402" s="126"/>
      <c r="K402" s="126"/>
      <c r="L402" s="126"/>
      <c r="M402" s="126"/>
    </row>
    <row r="403" spans="4:15">
      <c r="D403" s="90">
        <f>+B104</f>
        <v>130362</v>
      </c>
      <c r="E403" s="90" t="str">
        <f>+C104</f>
        <v>130317A</v>
      </c>
      <c r="F403" s="21">
        <f>+G104</f>
        <v>2.85</v>
      </c>
      <c r="G403" s="21">
        <f>+P42</f>
        <v>3.2232000000000003</v>
      </c>
      <c r="H403" s="153" t="str">
        <f>+IF(G403&gt;0.5,"NO","SI")</f>
        <v>NO</v>
      </c>
      <c r="I403" s="127" t="str">
        <f>IF(G403&lt;=1,"NO",IF(G403&lt;=2,"E1A",IF(G403&lt;=3,"E1B",IF(G403&lt;=3,"E1",IF(G403&lt;=$O$405,"E2","Consultar")))))</f>
        <v>E2</v>
      </c>
    </row>
    <row r="404" spans="4:15">
      <c r="D404" s="90" t="str">
        <f t="shared" ref="D404:E404" si="205">+B105</f>
        <v>130317A</v>
      </c>
      <c r="E404" s="90">
        <f t="shared" si="205"/>
        <v>130317</v>
      </c>
      <c r="F404" s="21">
        <f t="shared" ref="F404:F442" si="206">+G105</f>
        <v>2.96</v>
      </c>
      <c r="G404" s="21">
        <f t="shared" ref="G404:G432" si="207">+P43</f>
        <v>3.3332000000000002</v>
      </c>
      <c r="H404" s="153" t="str">
        <f t="shared" ref="H404:H442" si="208">+IF(G404&gt;0.5,"NO","SI")</f>
        <v>NO</v>
      </c>
      <c r="I404" s="248" t="str">
        <f>IF(G404&lt;=1,"NO",IF(G404&lt;=2,"E1A",IF(G404&lt;=3,"E1B",IF(G404&lt;=3,"E1",IF(G404&lt;=$O$405,"E2","Consultar")))))</f>
        <v>E2</v>
      </c>
    </row>
    <row r="405" spans="4:15">
      <c r="D405" s="90" t="str">
        <f t="shared" ref="D405:E405" si="209">+B106</f>
        <v>VICS-141</v>
      </c>
      <c r="E405" s="90">
        <f t="shared" si="209"/>
        <v>79879</v>
      </c>
      <c r="F405" s="21">
        <f t="shared" si="206"/>
        <v>2.2000000000000002</v>
      </c>
      <c r="G405" s="21">
        <f t="shared" si="207"/>
        <v>2.5732000000000004</v>
      </c>
      <c r="H405" s="153" t="str">
        <f t="shared" si="208"/>
        <v>NO</v>
      </c>
      <c r="I405" s="248" t="s">
        <v>380</v>
      </c>
      <c r="O405" s="17" t="s">
        <v>136</v>
      </c>
    </row>
    <row r="406" spans="4:15">
      <c r="D406" s="90">
        <f t="shared" ref="D406:E406" si="210">+B107</f>
        <v>79879</v>
      </c>
      <c r="E406" s="90">
        <f t="shared" si="210"/>
        <v>130362</v>
      </c>
      <c r="F406" s="21">
        <f t="shared" si="206"/>
        <v>1.92</v>
      </c>
      <c r="G406" s="21">
        <f t="shared" si="207"/>
        <v>2.2932000000000001</v>
      </c>
      <c r="H406" s="153" t="str">
        <f t="shared" si="208"/>
        <v>NO</v>
      </c>
      <c r="I406" s="248" t="s">
        <v>380</v>
      </c>
    </row>
    <row r="407" spans="4:15">
      <c r="D407" s="90">
        <f t="shared" ref="D407:E407" si="211">+B108</f>
        <v>79879</v>
      </c>
      <c r="E407" s="90">
        <f t="shared" si="211"/>
        <v>130234</v>
      </c>
      <c r="F407" s="21">
        <f t="shared" si="206"/>
        <v>1.46</v>
      </c>
      <c r="G407" s="21">
        <f t="shared" si="207"/>
        <v>1.8332000000000002</v>
      </c>
      <c r="H407" s="153" t="str">
        <f t="shared" si="208"/>
        <v>NO</v>
      </c>
      <c r="I407" s="248" t="s">
        <v>380</v>
      </c>
    </row>
    <row r="408" spans="4:15">
      <c r="D408" s="90">
        <f t="shared" ref="D408:E408" si="212">+B109</f>
        <v>130234</v>
      </c>
      <c r="E408" s="90" t="str">
        <f t="shared" si="212"/>
        <v>VICS-130A</v>
      </c>
      <c r="F408" s="21">
        <f t="shared" si="206"/>
        <v>2.66</v>
      </c>
      <c r="G408" s="21">
        <f t="shared" si="207"/>
        <v>3.0840000000000001</v>
      </c>
      <c r="H408" s="153" t="str">
        <f t="shared" si="208"/>
        <v>NO</v>
      </c>
      <c r="I408" s="248" t="str">
        <f>IF(G408&lt;=1,"NO",IF(G408&lt;=2,"E1A",IF(G408&lt;=3,"E1B",IF(G408&lt;=3,"E1",IF(G408&lt;=$O$405,"E2","Consultar")))))</f>
        <v>E2</v>
      </c>
    </row>
    <row r="409" spans="4:15">
      <c r="D409" s="90" t="str">
        <f t="shared" ref="D409:E409" si="213">+B110</f>
        <v>VICS-130A</v>
      </c>
      <c r="E409" s="90">
        <f t="shared" si="213"/>
        <v>130178</v>
      </c>
      <c r="F409" s="21">
        <f t="shared" si="206"/>
        <v>1.99</v>
      </c>
      <c r="G409" s="21">
        <f t="shared" si="207"/>
        <v>2.4140000000000001</v>
      </c>
      <c r="H409" s="153" t="str">
        <f t="shared" si="208"/>
        <v>NO</v>
      </c>
      <c r="I409" s="248" t="s">
        <v>380</v>
      </c>
    </row>
    <row r="410" spans="4:15">
      <c r="D410" s="90">
        <f t="shared" ref="D410:E410" si="214">+B111</f>
        <v>130178</v>
      </c>
      <c r="E410" s="90" t="str">
        <f t="shared" si="214"/>
        <v>VICS-132</v>
      </c>
      <c r="F410" s="21">
        <f t="shared" si="206"/>
        <v>2.02</v>
      </c>
      <c r="G410" s="21">
        <f t="shared" si="207"/>
        <v>2.444</v>
      </c>
      <c r="H410" s="153" t="str">
        <f t="shared" si="208"/>
        <v>NO</v>
      </c>
      <c r="I410" s="248" t="s">
        <v>380</v>
      </c>
    </row>
    <row r="411" spans="4:15">
      <c r="D411" s="90">
        <f t="shared" ref="D411:E411" si="215">+B112</f>
        <v>130317</v>
      </c>
      <c r="E411" s="90">
        <f t="shared" si="215"/>
        <v>130251</v>
      </c>
      <c r="F411" s="21">
        <f t="shared" si="206"/>
        <v>1.64</v>
      </c>
      <c r="G411" s="21">
        <f t="shared" si="207"/>
        <v>2.0131999999999999</v>
      </c>
      <c r="H411" s="153" t="str">
        <f t="shared" si="208"/>
        <v>NO</v>
      </c>
      <c r="I411" s="248" t="s">
        <v>380</v>
      </c>
    </row>
    <row r="412" spans="4:15">
      <c r="D412" s="90">
        <f t="shared" ref="D412:E412" si="216">+B113</f>
        <v>130178</v>
      </c>
      <c r="E412" s="90">
        <f t="shared" si="216"/>
        <v>130251</v>
      </c>
      <c r="F412" s="21">
        <f t="shared" si="206"/>
        <v>1.8</v>
      </c>
      <c r="G412" s="21">
        <f t="shared" si="207"/>
        <v>2.1732</v>
      </c>
      <c r="H412" s="153" t="str">
        <f t="shared" si="208"/>
        <v>NO</v>
      </c>
      <c r="I412" s="248" t="s">
        <v>380</v>
      </c>
    </row>
    <row r="413" spans="4:15">
      <c r="D413" s="90" t="str">
        <f t="shared" ref="D413:E413" si="217">+B114</f>
        <v>PVA-01</v>
      </c>
      <c r="E413" s="90" t="str">
        <f t="shared" si="217"/>
        <v>PVA-02</v>
      </c>
      <c r="F413" s="21">
        <f t="shared" si="206"/>
        <v>1.86</v>
      </c>
      <c r="G413" s="21">
        <f t="shared" si="207"/>
        <v>2.2332000000000001</v>
      </c>
      <c r="H413" s="153" t="str">
        <f t="shared" si="208"/>
        <v>NO</v>
      </c>
      <c r="I413" s="248" t="s">
        <v>380</v>
      </c>
    </row>
    <row r="414" spans="4:15">
      <c r="D414" s="90" t="str">
        <f t="shared" ref="D414:E414" si="218">+B115</f>
        <v>PVA-02</v>
      </c>
      <c r="E414" s="90">
        <f t="shared" si="218"/>
        <v>130251</v>
      </c>
      <c r="F414" s="21">
        <f t="shared" si="206"/>
        <v>1.46</v>
      </c>
      <c r="G414" s="21">
        <f t="shared" si="207"/>
        <v>1.8332000000000002</v>
      </c>
      <c r="H414" s="153" t="str">
        <f t="shared" si="208"/>
        <v>NO</v>
      </c>
      <c r="I414" s="248" t="s">
        <v>380</v>
      </c>
    </row>
    <row r="415" spans="4:15">
      <c r="D415" s="90" t="str">
        <f t="shared" ref="D415:E415" si="219">+B116</f>
        <v>PV-01</v>
      </c>
      <c r="E415" s="90" t="str">
        <f t="shared" si="219"/>
        <v>PV-02</v>
      </c>
      <c r="F415" s="21">
        <f t="shared" si="206"/>
        <v>2.29</v>
      </c>
      <c r="G415" s="21">
        <f t="shared" si="207"/>
        <v>2.714</v>
      </c>
      <c r="H415" s="153" t="str">
        <f t="shared" si="208"/>
        <v>NO</v>
      </c>
      <c r="I415" s="248" t="s">
        <v>380</v>
      </c>
    </row>
    <row r="416" spans="4:15">
      <c r="D416" s="90" t="str">
        <f t="shared" ref="D416:E416" si="220">+B117</f>
        <v>PV-02</v>
      </c>
      <c r="E416" s="90">
        <f t="shared" si="220"/>
        <v>125889</v>
      </c>
      <c r="F416" s="21">
        <f t="shared" si="206"/>
        <v>2.29</v>
      </c>
      <c r="G416" s="21">
        <f t="shared" si="207"/>
        <v>2.714</v>
      </c>
      <c r="H416" s="153" t="str">
        <f t="shared" si="208"/>
        <v>NO</v>
      </c>
      <c r="I416" s="248" t="s">
        <v>380</v>
      </c>
    </row>
    <row r="417" spans="4:9">
      <c r="D417" s="90">
        <f t="shared" ref="D417:E417" si="221">+B118</f>
        <v>125889</v>
      </c>
      <c r="E417" s="90">
        <f t="shared" si="221"/>
        <v>125890</v>
      </c>
      <c r="F417" s="21">
        <f t="shared" si="206"/>
        <v>2.35</v>
      </c>
      <c r="G417" s="21">
        <f t="shared" si="207"/>
        <v>2.774</v>
      </c>
      <c r="H417" s="153" t="str">
        <f t="shared" si="208"/>
        <v>NO</v>
      </c>
      <c r="I417" s="248" t="s">
        <v>380</v>
      </c>
    </row>
    <row r="418" spans="4:9">
      <c r="D418" s="90">
        <f t="shared" ref="D418:E418" si="222">+B119</f>
        <v>78120</v>
      </c>
      <c r="E418" s="90">
        <f t="shared" si="222"/>
        <v>77975</v>
      </c>
      <c r="F418" s="21">
        <f t="shared" si="206"/>
        <v>2.77</v>
      </c>
      <c r="G418" s="21">
        <f t="shared" si="207"/>
        <v>3.9350000000000001</v>
      </c>
      <c r="H418" s="153" t="str">
        <f t="shared" si="208"/>
        <v>NO</v>
      </c>
      <c r="I418" s="248" t="str">
        <f>IF(G418&lt;=1,"NO",IF(G418&lt;=2,"E1A",IF(G418&lt;=3,"E1B",IF(G418&lt;=3,"E1",IF(G418&lt;=$O$405,"E2","Consultar")))))</f>
        <v>E2</v>
      </c>
    </row>
    <row r="419" spans="4:9">
      <c r="D419" s="90">
        <f t="shared" ref="D419:E419" si="223">+B120</f>
        <v>77975</v>
      </c>
      <c r="E419" s="90">
        <f t="shared" si="223"/>
        <v>77724</v>
      </c>
      <c r="F419" s="21">
        <f t="shared" si="206"/>
        <v>2.8</v>
      </c>
      <c r="G419" s="21">
        <f t="shared" si="207"/>
        <v>3.9649999999999999</v>
      </c>
      <c r="H419" s="153" t="str">
        <f t="shared" si="208"/>
        <v>NO</v>
      </c>
      <c r="I419" s="248" t="str">
        <f>IF(G419&lt;=1,"NO",IF(G419&lt;=2,"E1A",IF(G419&lt;=3,"E1B",IF(G419&lt;=3,"E1",IF(G419&lt;=$O$405,"E2","Consultar")))))</f>
        <v>E2</v>
      </c>
    </row>
    <row r="420" spans="4:9">
      <c r="D420" s="90">
        <f t="shared" ref="D420:E420" si="224">+B121</f>
        <v>78745</v>
      </c>
      <c r="E420" s="90">
        <f t="shared" si="224"/>
        <v>77970</v>
      </c>
      <c r="F420" s="21">
        <f t="shared" si="206"/>
        <v>1.9</v>
      </c>
      <c r="G420" s="21">
        <f t="shared" si="207"/>
        <v>2.3239999999999998</v>
      </c>
      <c r="H420" s="153" t="str">
        <f t="shared" si="208"/>
        <v>NO</v>
      </c>
      <c r="I420" s="248" t="s">
        <v>380</v>
      </c>
    </row>
    <row r="421" spans="4:9">
      <c r="D421" s="90">
        <f t="shared" ref="D421:E421" si="225">+B122</f>
        <v>77970</v>
      </c>
      <c r="E421" s="90" t="str">
        <f t="shared" si="225"/>
        <v>VCP-163</v>
      </c>
      <c r="F421" s="21">
        <f t="shared" si="206"/>
        <v>2.59</v>
      </c>
      <c r="G421" s="21">
        <f t="shared" si="207"/>
        <v>3.0139999999999998</v>
      </c>
      <c r="H421" s="153" t="str">
        <f t="shared" si="208"/>
        <v>NO</v>
      </c>
      <c r="I421" s="248" t="str">
        <f>IF(G421&lt;=1,"NO",IF(G421&lt;=2,"E1A",IF(G421&lt;=3,"E1B",IF(G421&lt;=3,"E1",IF(G421&lt;=$O$405,"E2","Consultar")))))</f>
        <v>E2</v>
      </c>
    </row>
    <row r="422" spans="4:9">
      <c r="D422" s="90" t="str">
        <f t="shared" ref="D422:E422" si="226">+B123</f>
        <v>PV-03</v>
      </c>
      <c r="E422" s="90">
        <f t="shared" si="226"/>
        <v>78745</v>
      </c>
      <c r="F422" s="21">
        <f t="shared" si="206"/>
        <v>1.37</v>
      </c>
      <c r="G422" s="21">
        <f t="shared" si="207"/>
        <v>1.7940000000000003</v>
      </c>
      <c r="H422" s="153" t="str">
        <f t="shared" si="208"/>
        <v>NO</v>
      </c>
      <c r="I422" s="248" t="s">
        <v>380</v>
      </c>
    </row>
    <row r="423" spans="4:9">
      <c r="D423" s="90" t="str">
        <f t="shared" ref="D423:E423" si="227">+B124</f>
        <v>PV-05</v>
      </c>
      <c r="E423" s="90" t="str">
        <f t="shared" si="227"/>
        <v>PV-06</v>
      </c>
      <c r="F423" s="21">
        <f t="shared" si="206"/>
        <v>1.4</v>
      </c>
      <c r="G423" s="21">
        <f t="shared" si="207"/>
        <v>1.8240000000000001</v>
      </c>
      <c r="H423" s="153" t="str">
        <f t="shared" si="208"/>
        <v>NO</v>
      </c>
      <c r="I423" s="248" t="s">
        <v>380</v>
      </c>
    </row>
    <row r="424" spans="4:9">
      <c r="D424" s="90" t="str">
        <f t="shared" ref="D424:E424" si="228">+B125</f>
        <v>PV-06</v>
      </c>
      <c r="E424" s="90">
        <f t="shared" si="228"/>
        <v>79268</v>
      </c>
      <c r="F424" s="21">
        <f t="shared" si="206"/>
        <v>1.1599999999999999</v>
      </c>
      <c r="G424" s="21">
        <f t="shared" si="207"/>
        <v>1.5840000000000001</v>
      </c>
      <c r="H424" s="153" t="str">
        <f t="shared" si="208"/>
        <v>NO</v>
      </c>
      <c r="I424" s="248" t="s">
        <v>380</v>
      </c>
    </row>
    <row r="425" spans="4:9">
      <c r="D425" s="276" t="str">
        <f t="shared" ref="D425" si="229">+B126</f>
        <v>SUMIDEROS</v>
      </c>
      <c r="E425" s="277"/>
      <c r="F425" s="277"/>
      <c r="G425" s="277"/>
      <c r="H425" s="277"/>
      <c r="I425" s="278"/>
    </row>
    <row r="426" spans="4:9">
      <c r="D426" s="90" t="str">
        <f t="shared" ref="D426:E426" si="230">+B127</f>
        <v>S31</v>
      </c>
      <c r="E426" s="90">
        <f t="shared" si="230"/>
        <v>77724</v>
      </c>
      <c r="F426" s="21">
        <f t="shared" si="206"/>
        <v>1</v>
      </c>
      <c r="G426" s="21">
        <f t="shared" si="207"/>
        <v>1.3732000000000002</v>
      </c>
      <c r="H426" s="153" t="str">
        <f t="shared" si="208"/>
        <v>NO</v>
      </c>
      <c r="I426" s="248" t="s">
        <v>380</v>
      </c>
    </row>
    <row r="427" spans="4:9">
      <c r="D427" s="90" t="str">
        <f t="shared" ref="D427:E427" si="231">+B128</f>
        <v>S32</v>
      </c>
      <c r="E427" s="90">
        <f t="shared" si="231"/>
        <v>77724</v>
      </c>
      <c r="F427" s="21">
        <f t="shared" si="206"/>
        <v>1</v>
      </c>
      <c r="G427" s="21">
        <f t="shared" si="207"/>
        <v>1.3732000000000002</v>
      </c>
      <c r="H427" s="153" t="str">
        <f t="shared" si="208"/>
        <v>NO</v>
      </c>
      <c r="I427" s="248" t="s">
        <v>380</v>
      </c>
    </row>
    <row r="428" spans="4:9">
      <c r="D428" s="90" t="str">
        <f t="shared" ref="D428:E428" si="232">+B129</f>
        <v>S33</v>
      </c>
      <c r="E428" s="90">
        <f t="shared" si="232"/>
        <v>125889</v>
      </c>
      <c r="F428" s="21">
        <f t="shared" si="206"/>
        <v>1.1200000000000001</v>
      </c>
      <c r="G428" s="21">
        <f t="shared" si="207"/>
        <v>1.4932000000000003</v>
      </c>
      <c r="H428" s="153" t="str">
        <f t="shared" si="208"/>
        <v>NO</v>
      </c>
      <c r="I428" s="248" t="s">
        <v>380</v>
      </c>
    </row>
    <row r="429" spans="4:9">
      <c r="D429" s="90" t="str">
        <f t="shared" ref="D429:E429" si="233">+B130</f>
        <v>S34</v>
      </c>
      <c r="E429" s="90">
        <f t="shared" si="233"/>
        <v>125889</v>
      </c>
      <c r="F429" s="21">
        <f t="shared" si="206"/>
        <v>1.1399999999999999</v>
      </c>
      <c r="G429" s="21">
        <f t="shared" si="207"/>
        <v>1.5131999999999999</v>
      </c>
      <c r="H429" s="153" t="str">
        <f t="shared" si="208"/>
        <v>NO</v>
      </c>
      <c r="I429" s="248" t="s">
        <v>380</v>
      </c>
    </row>
    <row r="430" spans="4:9">
      <c r="D430" s="90" t="str">
        <f t="shared" ref="D430:E430" si="234">+B131</f>
        <v>S35</v>
      </c>
      <c r="E430" s="90">
        <f t="shared" si="234"/>
        <v>125890</v>
      </c>
      <c r="F430" s="21">
        <f t="shared" si="206"/>
        <v>1.1200000000000001</v>
      </c>
      <c r="G430" s="21">
        <f t="shared" si="207"/>
        <v>1.4932000000000003</v>
      </c>
      <c r="H430" s="153" t="str">
        <f t="shared" si="208"/>
        <v>NO</v>
      </c>
      <c r="I430" s="248" t="s">
        <v>380</v>
      </c>
    </row>
    <row r="431" spans="4:9">
      <c r="D431" s="90" t="str">
        <f t="shared" ref="D431:E431" si="235">+B132</f>
        <v>S36</v>
      </c>
      <c r="E431" s="90">
        <f t="shared" si="235"/>
        <v>125890</v>
      </c>
      <c r="F431" s="21">
        <f t="shared" si="206"/>
        <v>1.1399999999999999</v>
      </c>
      <c r="G431" s="21">
        <f t="shared" si="207"/>
        <v>1.5131999999999999</v>
      </c>
      <c r="H431" s="153" t="str">
        <f t="shared" si="208"/>
        <v>NO</v>
      </c>
      <c r="I431" s="248" t="s">
        <v>380</v>
      </c>
    </row>
    <row r="432" spans="4:9">
      <c r="D432" s="90" t="str">
        <f t="shared" ref="D432:E432" si="236">+B133</f>
        <v>S37</v>
      </c>
      <c r="E432" s="90">
        <f t="shared" si="236"/>
        <v>77724</v>
      </c>
      <c r="F432" s="21">
        <f t="shared" si="206"/>
        <v>1</v>
      </c>
      <c r="G432" s="21">
        <f t="shared" si="207"/>
        <v>1.3732000000000002</v>
      </c>
      <c r="H432" s="153" t="str">
        <f t="shared" si="208"/>
        <v>NO</v>
      </c>
      <c r="I432" s="248" t="s">
        <v>380</v>
      </c>
    </row>
    <row r="433" spans="1:13">
      <c r="D433" s="90" t="str">
        <f>+B134</f>
        <v>S38</v>
      </c>
      <c r="E433" s="90">
        <f>+C134</f>
        <v>77975</v>
      </c>
      <c r="F433" s="21">
        <f>+G134</f>
        <v>1.47</v>
      </c>
      <c r="G433" s="21">
        <f>+P72</f>
        <v>1.8431999999999999</v>
      </c>
      <c r="H433" s="153" t="str">
        <f>+IF(G433&gt;0.5,"NO","SI")</f>
        <v>NO</v>
      </c>
      <c r="I433" s="248" t="s">
        <v>380</v>
      </c>
    </row>
    <row r="434" spans="1:13">
      <c r="D434" s="90" t="str">
        <f t="shared" ref="D434:D439" si="237">+B135</f>
        <v>S39</v>
      </c>
      <c r="E434" s="90">
        <f t="shared" ref="E434:E439" si="238">+C135</f>
        <v>78120</v>
      </c>
      <c r="F434" s="21">
        <f t="shared" si="206"/>
        <v>1.01</v>
      </c>
      <c r="G434" s="21">
        <f t="shared" ref="G434:G439" si="239">+P73</f>
        <v>1.3832</v>
      </c>
      <c r="H434" s="153" t="str">
        <f t="shared" si="208"/>
        <v>NO</v>
      </c>
      <c r="I434" s="248" t="s">
        <v>380</v>
      </c>
    </row>
    <row r="435" spans="1:13">
      <c r="D435" s="90" t="str">
        <f t="shared" si="237"/>
        <v>S46</v>
      </c>
      <c r="E435" s="90" t="str">
        <f t="shared" si="238"/>
        <v>PV-03</v>
      </c>
      <c r="F435" s="21">
        <f t="shared" si="206"/>
        <v>1.7</v>
      </c>
      <c r="G435" s="21">
        <f t="shared" si="239"/>
        <v>2.0731999999999999</v>
      </c>
      <c r="H435" s="153" t="str">
        <f t="shared" si="208"/>
        <v>NO</v>
      </c>
      <c r="I435" s="248" t="s">
        <v>380</v>
      </c>
    </row>
    <row r="436" spans="1:13">
      <c r="D436" s="90" t="str">
        <f t="shared" si="237"/>
        <v>S47</v>
      </c>
      <c r="E436" s="90" t="str">
        <f t="shared" si="238"/>
        <v>PV-03</v>
      </c>
      <c r="F436" s="21">
        <f t="shared" si="206"/>
        <v>1.7</v>
      </c>
      <c r="G436" s="21">
        <f t="shared" si="239"/>
        <v>2.0731999999999999</v>
      </c>
      <c r="H436" s="153" t="str">
        <f t="shared" si="208"/>
        <v>NO</v>
      </c>
      <c r="I436" s="248" t="s">
        <v>380</v>
      </c>
    </row>
    <row r="437" spans="1:13">
      <c r="D437" s="90" t="str">
        <f t="shared" si="237"/>
        <v>S48</v>
      </c>
      <c r="E437" s="90">
        <f t="shared" si="238"/>
        <v>78745</v>
      </c>
      <c r="F437" s="21">
        <f t="shared" si="206"/>
        <v>1.1399999999999999</v>
      </c>
      <c r="G437" s="21">
        <f t="shared" si="239"/>
        <v>1.5131999999999999</v>
      </c>
      <c r="H437" s="153" t="str">
        <f t="shared" si="208"/>
        <v>NO</v>
      </c>
      <c r="I437" s="248" t="s">
        <v>380</v>
      </c>
    </row>
    <row r="438" spans="1:13">
      <c r="D438" s="90" t="str">
        <f t="shared" si="237"/>
        <v>S49</v>
      </c>
      <c r="E438" s="90">
        <f t="shared" si="238"/>
        <v>78745</v>
      </c>
      <c r="F438" s="21">
        <f t="shared" si="206"/>
        <v>1.17</v>
      </c>
      <c r="G438" s="21">
        <f t="shared" si="239"/>
        <v>1.5432000000000001</v>
      </c>
      <c r="H438" s="153" t="str">
        <f t="shared" si="208"/>
        <v>NO</v>
      </c>
      <c r="I438" s="248" t="s">
        <v>380</v>
      </c>
    </row>
    <row r="439" spans="1:13">
      <c r="D439" s="90" t="str">
        <f t="shared" si="237"/>
        <v>S50</v>
      </c>
      <c r="E439" s="90">
        <f t="shared" si="238"/>
        <v>77970</v>
      </c>
      <c r="F439" s="21">
        <f t="shared" si="206"/>
        <v>1.1299999999999999</v>
      </c>
      <c r="G439" s="21">
        <f t="shared" si="239"/>
        <v>1.5032000000000001</v>
      </c>
      <c r="H439" s="153" t="str">
        <f t="shared" si="208"/>
        <v>NO</v>
      </c>
      <c r="I439" s="248" t="s">
        <v>380</v>
      </c>
    </row>
    <row r="440" spans="1:13">
      <c r="D440" s="90" t="str">
        <f>+B141</f>
        <v>S51</v>
      </c>
      <c r="E440" s="90">
        <f>+C141</f>
        <v>77970</v>
      </c>
      <c r="F440" s="21">
        <f>+G141</f>
        <v>1.08</v>
      </c>
      <c r="G440" s="21">
        <f>+P79</f>
        <v>1.4532000000000003</v>
      </c>
      <c r="H440" s="153" t="str">
        <f>+IF(G440&gt;0.5,"NO","SI")</f>
        <v>NO</v>
      </c>
      <c r="I440" s="248" t="s">
        <v>380</v>
      </c>
    </row>
    <row r="441" spans="1:13">
      <c r="D441" s="90" t="str">
        <f t="shared" ref="D441:D442" si="240">+B142</f>
        <v>S52</v>
      </c>
      <c r="E441" s="90">
        <f t="shared" ref="E441:E442" si="241">+C142</f>
        <v>77970</v>
      </c>
      <c r="F441" s="21">
        <f t="shared" si="206"/>
        <v>1.5</v>
      </c>
      <c r="G441" s="21">
        <f t="shared" ref="G441:G442" si="242">+P80</f>
        <v>1.8732000000000002</v>
      </c>
      <c r="H441" s="153" t="str">
        <f t="shared" si="208"/>
        <v>NO</v>
      </c>
      <c r="I441" s="248" t="s">
        <v>380</v>
      </c>
    </row>
    <row r="442" spans="1:13">
      <c r="D442" s="90" t="str">
        <f t="shared" si="240"/>
        <v>S53</v>
      </c>
      <c r="E442" s="90">
        <f t="shared" si="241"/>
        <v>77970</v>
      </c>
      <c r="F442" s="21">
        <f t="shared" si="206"/>
        <v>1.3</v>
      </c>
      <c r="G442" s="21">
        <f t="shared" si="242"/>
        <v>1.6732</v>
      </c>
      <c r="H442" s="153" t="str">
        <f t="shared" si="208"/>
        <v>NO</v>
      </c>
      <c r="I442" s="248" t="s">
        <v>380</v>
      </c>
    </row>
    <row r="444" spans="1:13">
      <c r="A444" s="64" t="s">
        <v>398</v>
      </c>
      <c r="B444" s="74"/>
      <c r="C444" s="74"/>
      <c r="D444" s="74"/>
      <c r="E444" s="74"/>
      <c r="F444" s="74"/>
      <c r="G444" s="74"/>
      <c r="H444" s="74"/>
      <c r="I444" s="74"/>
      <c r="J444" s="74"/>
      <c r="K444" s="74"/>
      <c r="L444" s="74"/>
      <c r="M444" s="74"/>
    </row>
    <row r="445" spans="1:13">
      <c r="A445" s="65"/>
      <c r="B445" s="74"/>
      <c r="C445" s="74"/>
      <c r="D445" s="74"/>
      <c r="E445" s="74"/>
      <c r="F445" s="74"/>
      <c r="G445" s="74"/>
      <c r="H445" s="74"/>
      <c r="I445" s="74"/>
      <c r="J445" s="74"/>
      <c r="K445" s="74"/>
      <c r="L445" s="74"/>
      <c r="M445" s="74"/>
    </row>
    <row r="446" spans="1:13">
      <c r="A446" s="17" t="s">
        <v>392</v>
      </c>
    </row>
    <row r="449" s="17" customFormat="1"/>
    <row r="450" s="17" customFormat="1"/>
    <row r="451" s="17" customFormat="1"/>
    <row r="452" s="17" customFormat="1"/>
    <row r="453" s="17" customFormat="1"/>
    <row r="454" s="17" customFormat="1"/>
    <row r="455" s="17" customFormat="1"/>
    <row r="456" s="17" customFormat="1"/>
    <row r="457" s="17" customFormat="1"/>
    <row r="458" s="17" customFormat="1"/>
    <row r="459" s="17" customFormat="1"/>
    <row r="460" s="17" customFormat="1"/>
    <row r="461" s="17" customFormat="1"/>
    <row r="462" s="17" customFormat="1"/>
    <row r="463" s="17" customFormat="1"/>
    <row r="464" s="17" customFormat="1"/>
    <row r="471" spans="2:12">
      <c r="B471" s="279" t="s">
        <v>128</v>
      </c>
      <c r="C471" s="309" t="s">
        <v>129</v>
      </c>
      <c r="D471" s="274" t="s">
        <v>48</v>
      </c>
      <c r="E471" s="274" t="s">
        <v>16</v>
      </c>
      <c r="F471" s="274" t="s">
        <v>134</v>
      </c>
      <c r="G471" s="274" t="s">
        <v>391</v>
      </c>
      <c r="H471" s="310" t="s">
        <v>393</v>
      </c>
      <c r="I471" s="279" t="s">
        <v>394</v>
      </c>
      <c r="J471" s="279" t="s">
        <v>395</v>
      </c>
      <c r="K471" s="279" t="s">
        <v>396</v>
      </c>
      <c r="L471" s="279" t="s">
        <v>397</v>
      </c>
    </row>
    <row r="472" spans="2:12">
      <c r="B472" s="279"/>
      <c r="C472" s="309"/>
      <c r="D472" s="275"/>
      <c r="E472" s="275"/>
      <c r="F472" s="275"/>
      <c r="G472" s="275"/>
      <c r="H472" s="310"/>
      <c r="I472" s="279"/>
      <c r="J472" s="279"/>
      <c r="K472" s="279"/>
      <c r="L472" s="279"/>
    </row>
    <row r="473" spans="2:12">
      <c r="B473" s="90">
        <f t="shared" ref="B473:B494" si="243">+D403</f>
        <v>130362</v>
      </c>
      <c r="C473" s="263" t="str">
        <f t="shared" ref="C473:C494" si="244">+E403</f>
        <v>130317A</v>
      </c>
      <c r="D473" s="21">
        <f>+G356</f>
        <v>0.2732</v>
      </c>
      <c r="E473" s="21">
        <f>+G251</f>
        <v>1</v>
      </c>
      <c r="F473" s="21">
        <f>+F403</f>
        <v>2.85</v>
      </c>
      <c r="G473" s="21">
        <f>+G403</f>
        <v>3.2232000000000003</v>
      </c>
      <c r="H473" s="264">
        <v>0.1</v>
      </c>
      <c r="I473" s="21">
        <f>0.6*D473</f>
        <v>0.16391999999999998</v>
      </c>
      <c r="J473" s="21">
        <f>(0.4*D473)+0.3</f>
        <v>0.40927999999999998</v>
      </c>
      <c r="K473" s="21">
        <f>+G473-J473-I473-H473-L473</f>
        <v>2.0500000000000003</v>
      </c>
      <c r="L473" s="21">
        <v>0.5</v>
      </c>
    </row>
    <row r="474" spans="2:12">
      <c r="B474" s="90" t="str">
        <f t="shared" si="243"/>
        <v>130317A</v>
      </c>
      <c r="C474" s="263">
        <f t="shared" si="244"/>
        <v>130317</v>
      </c>
      <c r="D474" s="21">
        <f t="shared" ref="D474:D512" si="245">+G357</f>
        <v>0.2732</v>
      </c>
      <c r="E474" s="21">
        <f t="shared" ref="E474:E512" si="246">+G252</f>
        <v>1</v>
      </c>
      <c r="F474" s="21">
        <f t="shared" ref="F474:G474" si="247">+F404</f>
        <v>2.96</v>
      </c>
      <c r="G474" s="21">
        <f t="shared" si="247"/>
        <v>3.3332000000000002</v>
      </c>
      <c r="H474" s="264">
        <v>0.1</v>
      </c>
      <c r="I474" s="21">
        <f t="shared" ref="I474:I512" si="248">0.6*D474</f>
        <v>0.16391999999999998</v>
      </c>
      <c r="J474" s="21">
        <f t="shared" ref="J474:J512" si="249">(0.4*D474)+0.3</f>
        <v>0.40927999999999998</v>
      </c>
      <c r="K474" s="21">
        <f t="shared" ref="K474:K512" si="250">+G474-J474-I474-H474-L474</f>
        <v>2.16</v>
      </c>
      <c r="L474" s="21">
        <v>0.5</v>
      </c>
    </row>
    <row r="475" spans="2:12">
      <c r="B475" s="90" t="str">
        <f t="shared" si="243"/>
        <v>VICS-141</v>
      </c>
      <c r="C475" s="263">
        <f t="shared" si="244"/>
        <v>79879</v>
      </c>
      <c r="D475" s="21">
        <f t="shared" si="245"/>
        <v>0.2732</v>
      </c>
      <c r="E475" s="21">
        <f t="shared" si="246"/>
        <v>1</v>
      </c>
      <c r="F475" s="21">
        <f t="shared" ref="F475:G475" si="251">+F405</f>
        <v>2.2000000000000002</v>
      </c>
      <c r="G475" s="21">
        <f t="shared" si="251"/>
        <v>2.5732000000000004</v>
      </c>
      <c r="H475" s="264">
        <v>0.1</v>
      </c>
      <c r="I475" s="21">
        <f t="shared" si="248"/>
        <v>0.16391999999999998</v>
      </c>
      <c r="J475" s="21">
        <f t="shared" si="249"/>
        <v>0.40927999999999998</v>
      </c>
      <c r="K475" s="21">
        <f t="shared" si="250"/>
        <v>1.4000000000000004</v>
      </c>
      <c r="L475" s="21">
        <v>0.5</v>
      </c>
    </row>
    <row r="476" spans="2:12">
      <c r="B476" s="90">
        <f t="shared" si="243"/>
        <v>79879</v>
      </c>
      <c r="C476" s="263">
        <f t="shared" si="244"/>
        <v>130362</v>
      </c>
      <c r="D476" s="21">
        <f t="shared" si="245"/>
        <v>0.2732</v>
      </c>
      <c r="E476" s="21">
        <f t="shared" si="246"/>
        <v>1</v>
      </c>
      <c r="F476" s="21">
        <f t="shared" ref="F476:G476" si="252">+F406</f>
        <v>1.92</v>
      </c>
      <c r="G476" s="21">
        <f t="shared" si="252"/>
        <v>2.2932000000000001</v>
      </c>
      <c r="H476" s="264">
        <v>0.1</v>
      </c>
      <c r="I476" s="21">
        <f t="shared" si="248"/>
        <v>0.16391999999999998</v>
      </c>
      <c r="J476" s="21">
        <f t="shared" si="249"/>
        <v>0.40927999999999998</v>
      </c>
      <c r="K476" s="21">
        <f t="shared" si="250"/>
        <v>1.1200000000000001</v>
      </c>
      <c r="L476" s="21">
        <v>0.5</v>
      </c>
    </row>
    <row r="477" spans="2:12">
      <c r="B477" s="90">
        <f t="shared" si="243"/>
        <v>79879</v>
      </c>
      <c r="C477" s="263">
        <f t="shared" si="244"/>
        <v>130234</v>
      </c>
      <c r="D477" s="21">
        <f t="shared" si="245"/>
        <v>0.2732</v>
      </c>
      <c r="E477" s="21">
        <f t="shared" si="246"/>
        <v>1</v>
      </c>
      <c r="F477" s="21">
        <f t="shared" ref="F477:G477" si="253">+F407</f>
        <v>1.46</v>
      </c>
      <c r="G477" s="21">
        <f t="shared" si="253"/>
        <v>1.8332000000000002</v>
      </c>
      <c r="H477" s="264">
        <v>0.1</v>
      </c>
      <c r="I477" s="21">
        <f t="shared" si="248"/>
        <v>0.16391999999999998</v>
      </c>
      <c r="J477" s="21">
        <f t="shared" si="249"/>
        <v>0.40927999999999998</v>
      </c>
      <c r="K477" s="21">
        <f t="shared" si="250"/>
        <v>0.66000000000000014</v>
      </c>
      <c r="L477" s="21">
        <v>0.5</v>
      </c>
    </row>
    <row r="478" spans="2:12">
      <c r="B478" s="90">
        <f t="shared" si="243"/>
        <v>130234</v>
      </c>
      <c r="C478" s="263" t="str">
        <f t="shared" si="244"/>
        <v>VICS-130A</v>
      </c>
      <c r="D478" s="21">
        <f t="shared" si="245"/>
        <v>0.32400000000000001</v>
      </c>
      <c r="E478" s="21">
        <f t="shared" si="246"/>
        <v>1</v>
      </c>
      <c r="F478" s="21">
        <f t="shared" ref="F478:G478" si="254">+F408</f>
        <v>2.66</v>
      </c>
      <c r="G478" s="21">
        <f t="shared" si="254"/>
        <v>3.0840000000000001</v>
      </c>
      <c r="H478" s="264">
        <v>0.1</v>
      </c>
      <c r="I478" s="21">
        <f t="shared" si="248"/>
        <v>0.19439999999999999</v>
      </c>
      <c r="J478" s="21">
        <f t="shared" si="249"/>
        <v>0.42959999999999998</v>
      </c>
      <c r="K478" s="21">
        <f t="shared" si="250"/>
        <v>1.8599999999999999</v>
      </c>
      <c r="L478" s="21">
        <v>0.5</v>
      </c>
    </row>
    <row r="479" spans="2:12">
      <c r="B479" s="90" t="str">
        <f t="shared" si="243"/>
        <v>VICS-130A</v>
      </c>
      <c r="C479" s="263">
        <f t="shared" si="244"/>
        <v>130178</v>
      </c>
      <c r="D479" s="21">
        <f t="shared" si="245"/>
        <v>0.32400000000000001</v>
      </c>
      <c r="E479" s="21">
        <f t="shared" si="246"/>
        <v>1</v>
      </c>
      <c r="F479" s="21">
        <f t="shared" ref="F479:G479" si="255">+F409</f>
        <v>1.99</v>
      </c>
      <c r="G479" s="21">
        <f t="shared" si="255"/>
        <v>2.4140000000000001</v>
      </c>
      <c r="H479" s="264">
        <v>0.1</v>
      </c>
      <c r="I479" s="21">
        <f t="shared" si="248"/>
        <v>0.19439999999999999</v>
      </c>
      <c r="J479" s="21">
        <f t="shared" si="249"/>
        <v>0.42959999999999998</v>
      </c>
      <c r="K479" s="21">
        <f t="shared" si="250"/>
        <v>1.1900000000000002</v>
      </c>
      <c r="L479" s="21">
        <v>0.5</v>
      </c>
    </row>
    <row r="480" spans="2:12">
      <c r="B480" s="90">
        <f t="shared" si="243"/>
        <v>130178</v>
      </c>
      <c r="C480" s="263" t="str">
        <f t="shared" si="244"/>
        <v>VICS-132</v>
      </c>
      <c r="D480" s="21">
        <f t="shared" si="245"/>
        <v>0.32400000000000001</v>
      </c>
      <c r="E480" s="21">
        <f t="shared" si="246"/>
        <v>1</v>
      </c>
      <c r="F480" s="21">
        <f t="shared" ref="F480:G480" si="256">+F410</f>
        <v>2.02</v>
      </c>
      <c r="G480" s="21">
        <f t="shared" si="256"/>
        <v>2.444</v>
      </c>
      <c r="H480" s="264">
        <v>0.1</v>
      </c>
      <c r="I480" s="21">
        <f t="shared" si="248"/>
        <v>0.19439999999999999</v>
      </c>
      <c r="J480" s="21">
        <f t="shared" si="249"/>
        <v>0.42959999999999998</v>
      </c>
      <c r="K480" s="21">
        <f t="shared" si="250"/>
        <v>1.2200000000000002</v>
      </c>
      <c r="L480" s="21">
        <v>0.5</v>
      </c>
    </row>
    <row r="481" spans="2:12">
      <c r="B481" s="90">
        <f t="shared" si="243"/>
        <v>130317</v>
      </c>
      <c r="C481" s="263">
        <f t="shared" si="244"/>
        <v>130251</v>
      </c>
      <c r="D481" s="21">
        <f t="shared" si="245"/>
        <v>0.2732</v>
      </c>
      <c r="E481" s="21">
        <f t="shared" si="246"/>
        <v>1</v>
      </c>
      <c r="F481" s="21">
        <f t="shared" ref="F481:G481" si="257">+F411</f>
        <v>1.64</v>
      </c>
      <c r="G481" s="21">
        <f t="shared" si="257"/>
        <v>2.0131999999999999</v>
      </c>
      <c r="H481" s="264">
        <v>0.1</v>
      </c>
      <c r="I481" s="21">
        <f t="shared" si="248"/>
        <v>0.16391999999999998</v>
      </c>
      <c r="J481" s="21">
        <f t="shared" si="249"/>
        <v>0.40927999999999998</v>
      </c>
      <c r="K481" s="21">
        <f t="shared" si="250"/>
        <v>0.83999999999999986</v>
      </c>
      <c r="L481" s="21">
        <v>0.5</v>
      </c>
    </row>
    <row r="482" spans="2:12">
      <c r="B482" s="90">
        <f t="shared" si="243"/>
        <v>130178</v>
      </c>
      <c r="C482" s="263">
        <f t="shared" si="244"/>
        <v>130251</v>
      </c>
      <c r="D482" s="21">
        <f t="shared" si="245"/>
        <v>0.2732</v>
      </c>
      <c r="E482" s="21">
        <f t="shared" si="246"/>
        <v>1</v>
      </c>
      <c r="F482" s="21">
        <f t="shared" ref="F482:G482" si="258">+F412</f>
        <v>1.8</v>
      </c>
      <c r="G482" s="21">
        <f t="shared" si="258"/>
        <v>2.1732</v>
      </c>
      <c r="H482" s="264">
        <v>0.1</v>
      </c>
      <c r="I482" s="21">
        <f t="shared" si="248"/>
        <v>0.16391999999999998</v>
      </c>
      <c r="J482" s="21">
        <f t="shared" si="249"/>
        <v>0.40927999999999998</v>
      </c>
      <c r="K482" s="21">
        <f t="shared" si="250"/>
        <v>1</v>
      </c>
      <c r="L482" s="21">
        <v>0.5</v>
      </c>
    </row>
    <row r="483" spans="2:12">
      <c r="B483" s="90" t="str">
        <f t="shared" si="243"/>
        <v>PVA-01</v>
      </c>
      <c r="C483" s="263" t="str">
        <f t="shared" si="244"/>
        <v>PVA-02</v>
      </c>
      <c r="D483" s="21">
        <f t="shared" si="245"/>
        <v>0.2732</v>
      </c>
      <c r="E483" s="21">
        <f t="shared" si="246"/>
        <v>1</v>
      </c>
      <c r="F483" s="21">
        <f t="shared" ref="F483:G483" si="259">+F413</f>
        <v>1.86</v>
      </c>
      <c r="G483" s="21">
        <f t="shared" si="259"/>
        <v>2.2332000000000001</v>
      </c>
      <c r="H483" s="264">
        <v>0.1</v>
      </c>
      <c r="I483" s="21">
        <f t="shared" si="248"/>
        <v>0.16391999999999998</v>
      </c>
      <c r="J483" s="21">
        <f t="shared" si="249"/>
        <v>0.40927999999999998</v>
      </c>
      <c r="K483" s="21">
        <f t="shared" si="250"/>
        <v>1.06</v>
      </c>
      <c r="L483" s="21">
        <v>0.5</v>
      </c>
    </row>
    <row r="484" spans="2:12">
      <c r="B484" s="90" t="str">
        <f t="shared" si="243"/>
        <v>PVA-02</v>
      </c>
      <c r="C484" s="263">
        <f t="shared" si="244"/>
        <v>130251</v>
      </c>
      <c r="D484" s="21">
        <f t="shared" si="245"/>
        <v>0.2732</v>
      </c>
      <c r="E484" s="21">
        <f t="shared" si="246"/>
        <v>1</v>
      </c>
      <c r="F484" s="21">
        <f t="shared" ref="F484:G484" si="260">+F414</f>
        <v>1.46</v>
      </c>
      <c r="G484" s="21">
        <f t="shared" si="260"/>
        <v>1.8332000000000002</v>
      </c>
      <c r="H484" s="264">
        <v>0.1</v>
      </c>
      <c r="I484" s="21">
        <f t="shared" si="248"/>
        <v>0.16391999999999998</v>
      </c>
      <c r="J484" s="21">
        <f t="shared" si="249"/>
        <v>0.40927999999999998</v>
      </c>
      <c r="K484" s="21">
        <f t="shared" si="250"/>
        <v>0.66000000000000014</v>
      </c>
      <c r="L484" s="21">
        <v>0.5</v>
      </c>
    </row>
    <row r="485" spans="2:12">
      <c r="B485" s="90" t="str">
        <f t="shared" si="243"/>
        <v>PV-01</v>
      </c>
      <c r="C485" s="263" t="str">
        <f t="shared" si="244"/>
        <v>PV-02</v>
      </c>
      <c r="D485" s="21">
        <f t="shared" si="245"/>
        <v>0.32400000000000001</v>
      </c>
      <c r="E485" s="21">
        <f t="shared" si="246"/>
        <v>1</v>
      </c>
      <c r="F485" s="21">
        <f t="shared" ref="F485:G485" si="261">+F415</f>
        <v>2.29</v>
      </c>
      <c r="G485" s="21">
        <f t="shared" si="261"/>
        <v>2.714</v>
      </c>
      <c r="H485" s="264">
        <v>0.1</v>
      </c>
      <c r="I485" s="21">
        <f t="shared" si="248"/>
        <v>0.19439999999999999</v>
      </c>
      <c r="J485" s="21">
        <f t="shared" si="249"/>
        <v>0.42959999999999998</v>
      </c>
      <c r="K485" s="21">
        <f t="shared" si="250"/>
        <v>1.4899999999999998</v>
      </c>
      <c r="L485" s="21">
        <v>0.5</v>
      </c>
    </row>
    <row r="486" spans="2:12">
      <c r="B486" s="90" t="str">
        <f t="shared" si="243"/>
        <v>PV-02</v>
      </c>
      <c r="C486" s="263">
        <f t="shared" si="244"/>
        <v>125889</v>
      </c>
      <c r="D486" s="21">
        <f t="shared" si="245"/>
        <v>0.32400000000000001</v>
      </c>
      <c r="E486" s="21">
        <f t="shared" si="246"/>
        <v>1</v>
      </c>
      <c r="F486" s="21">
        <f t="shared" ref="F486:G486" si="262">+F416</f>
        <v>2.29</v>
      </c>
      <c r="G486" s="21">
        <f t="shared" si="262"/>
        <v>2.714</v>
      </c>
      <c r="H486" s="264">
        <v>0.1</v>
      </c>
      <c r="I486" s="21">
        <f t="shared" si="248"/>
        <v>0.19439999999999999</v>
      </c>
      <c r="J486" s="21">
        <f t="shared" si="249"/>
        <v>0.42959999999999998</v>
      </c>
      <c r="K486" s="21">
        <f t="shared" si="250"/>
        <v>1.4899999999999998</v>
      </c>
      <c r="L486" s="21">
        <v>0.5</v>
      </c>
    </row>
    <row r="487" spans="2:12">
      <c r="B487" s="90">
        <f t="shared" si="243"/>
        <v>125889</v>
      </c>
      <c r="C487" s="263">
        <f t="shared" si="244"/>
        <v>125890</v>
      </c>
      <c r="D487" s="21">
        <f t="shared" si="245"/>
        <v>0.32400000000000001</v>
      </c>
      <c r="E487" s="21">
        <f t="shared" si="246"/>
        <v>1</v>
      </c>
      <c r="F487" s="21">
        <f t="shared" ref="F487:G487" si="263">+F417</f>
        <v>2.35</v>
      </c>
      <c r="G487" s="21">
        <f t="shared" si="263"/>
        <v>2.774</v>
      </c>
      <c r="H487" s="264">
        <v>0.1</v>
      </c>
      <c r="I487" s="21">
        <f t="shared" si="248"/>
        <v>0.19439999999999999</v>
      </c>
      <c r="J487" s="21">
        <f t="shared" si="249"/>
        <v>0.42959999999999998</v>
      </c>
      <c r="K487" s="21">
        <f t="shared" si="250"/>
        <v>1.5500000000000003</v>
      </c>
      <c r="L487" s="21">
        <v>0.5</v>
      </c>
    </row>
    <row r="488" spans="2:12">
      <c r="B488" s="90">
        <f t="shared" si="243"/>
        <v>78120</v>
      </c>
      <c r="C488" s="263">
        <f t="shared" si="244"/>
        <v>77975</v>
      </c>
      <c r="D488" s="21">
        <f t="shared" si="245"/>
        <v>1.0649999999999999</v>
      </c>
      <c r="E488" s="21">
        <f t="shared" si="246"/>
        <v>1.7999999999999998</v>
      </c>
      <c r="F488" s="21">
        <f t="shared" ref="F488:G488" si="264">+F418</f>
        <v>2.77</v>
      </c>
      <c r="G488" s="21">
        <f t="shared" si="264"/>
        <v>3.9350000000000001</v>
      </c>
      <c r="H488" s="264">
        <v>0.15</v>
      </c>
      <c r="I488" s="21">
        <f t="shared" si="248"/>
        <v>0.6389999999999999</v>
      </c>
      <c r="J488" s="21">
        <f t="shared" si="249"/>
        <v>0.72599999999999998</v>
      </c>
      <c r="K488" s="21">
        <f t="shared" si="250"/>
        <v>1.9200000000000004</v>
      </c>
      <c r="L488" s="21">
        <v>0.5</v>
      </c>
    </row>
    <row r="489" spans="2:12">
      <c r="B489" s="90">
        <f t="shared" si="243"/>
        <v>77975</v>
      </c>
      <c r="C489" s="263">
        <f t="shared" si="244"/>
        <v>77724</v>
      </c>
      <c r="D489" s="21">
        <f t="shared" si="245"/>
        <v>1.0649999999999999</v>
      </c>
      <c r="E489" s="21">
        <f t="shared" si="246"/>
        <v>1.7999999999999998</v>
      </c>
      <c r="F489" s="21">
        <f t="shared" ref="F489:G489" si="265">+F419</f>
        <v>2.8</v>
      </c>
      <c r="G489" s="21">
        <f t="shared" si="265"/>
        <v>3.9649999999999999</v>
      </c>
      <c r="H489" s="264">
        <v>0.15</v>
      </c>
      <c r="I489" s="21">
        <f t="shared" si="248"/>
        <v>0.6389999999999999</v>
      </c>
      <c r="J489" s="21">
        <f t="shared" si="249"/>
        <v>0.72599999999999998</v>
      </c>
      <c r="K489" s="21">
        <f t="shared" si="250"/>
        <v>1.9500000000000002</v>
      </c>
      <c r="L489" s="21">
        <v>0.5</v>
      </c>
    </row>
    <row r="490" spans="2:12">
      <c r="B490" s="90">
        <f t="shared" si="243"/>
        <v>78745</v>
      </c>
      <c r="C490" s="263">
        <f t="shared" si="244"/>
        <v>77970</v>
      </c>
      <c r="D490" s="21">
        <f t="shared" si="245"/>
        <v>0.32400000000000001</v>
      </c>
      <c r="E490" s="21">
        <f t="shared" si="246"/>
        <v>1</v>
      </c>
      <c r="F490" s="21">
        <f t="shared" ref="F490:G490" si="266">+F420</f>
        <v>1.9</v>
      </c>
      <c r="G490" s="21">
        <f t="shared" si="266"/>
        <v>2.3239999999999998</v>
      </c>
      <c r="H490" s="264">
        <v>0.1</v>
      </c>
      <c r="I490" s="21">
        <f t="shared" si="248"/>
        <v>0.19439999999999999</v>
      </c>
      <c r="J490" s="21">
        <f t="shared" si="249"/>
        <v>0.42959999999999998</v>
      </c>
      <c r="K490" s="21">
        <f t="shared" si="250"/>
        <v>1.0999999999999999</v>
      </c>
      <c r="L490" s="21">
        <v>0.5</v>
      </c>
    </row>
    <row r="491" spans="2:12">
      <c r="B491" s="90">
        <f t="shared" si="243"/>
        <v>77970</v>
      </c>
      <c r="C491" s="263" t="str">
        <f t="shared" si="244"/>
        <v>VCP-163</v>
      </c>
      <c r="D491" s="21">
        <f t="shared" si="245"/>
        <v>0.32400000000000001</v>
      </c>
      <c r="E491" s="21">
        <f t="shared" si="246"/>
        <v>1</v>
      </c>
      <c r="F491" s="21">
        <f t="shared" ref="F491:G491" si="267">+F421</f>
        <v>2.59</v>
      </c>
      <c r="G491" s="21">
        <f t="shared" si="267"/>
        <v>3.0139999999999998</v>
      </c>
      <c r="H491" s="264">
        <v>0.1</v>
      </c>
      <c r="I491" s="21">
        <f t="shared" si="248"/>
        <v>0.19439999999999999</v>
      </c>
      <c r="J491" s="21">
        <f t="shared" si="249"/>
        <v>0.42959999999999998</v>
      </c>
      <c r="K491" s="21">
        <f t="shared" si="250"/>
        <v>1.7899999999999996</v>
      </c>
      <c r="L491" s="21">
        <v>0.5</v>
      </c>
    </row>
    <row r="492" spans="2:12">
      <c r="B492" s="90" t="str">
        <f t="shared" si="243"/>
        <v>PV-03</v>
      </c>
      <c r="C492" s="263">
        <f t="shared" si="244"/>
        <v>78745</v>
      </c>
      <c r="D492" s="21">
        <f t="shared" si="245"/>
        <v>0.32400000000000001</v>
      </c>
      <c r="E492" s="21">
        <f t="shared" si="246"/>
        <v>1</v>
      </c>
      <c r="F492" s="21">
        <f t="shared" ref="F492:G492" si="268">+F422</f>
        <v>1.37</v>
      </c>
      <c r="G492" s="21">
        <f t="shared" si="268"/>
        <v>1.7940000000000003</v>
      </c>
      <c r="H492" s="264">
        <v>0.1</v>
      </c>
      <c r="I492" s="21">
        <f t="shared" si="248"/>
        <v>0.19439999999999999</v>
      </c>
      <c r="J492" s="21">
        <f t="shared" si="249"/>
        <v>0.42959999999999998</v>
      </c>
      <c r="K492" s="21">
        <f t="shared" si="250"/>
        <v>0.57000000000000028</v>
      </c>
      <c r="L492" s="21">
        <v>0.5</v>
      </c>
    </row>
    <row r="493" spans="2:12">
      <c r="B493" s="90" t="str">
        <f t="shared" si="243"/>
        <v>PV-05</v>
      </c>
      <c r="C493" s="263" t="str">
        <f t="shared" si="244"/>
        <v>PV-06</v>
      </c>
      <c r="D493" s="21">
        <f t="shared" si="245"/>
        <v>0.32400000000000001</v>
      </c>
      <c r="E493" s="21">
        <f t="shared" si="246"/>
        <v>1</v>
      </c>
      <c r="F493" s="21">
        <f t="shared" ref="F493:G493" si="269">+F423</f>
        <v>1.4</v>
      </c>
      <c r="G493" s="21">
        <f t="shared" si="269"/>
        <v>1.8240000000000001</v>
      </c>
      <c r="H493" s="264">
        <v>0.1</v>
      </c>
      <c r="I493" s="21">
        <f t="shared" si="248"/>
        <v>0.19439999999999999</v>
      </c>
      <c r="J493" s="21">
        <f t="shared" si="249"/>
        <v>0.42959999999999998</v>
      </c>
      <c r="K493" s="21">
        <f t="shared" si="250"/>
        <v>0.60000000000000009</v>
      </c>
      <c r="L493" s="21">
        <v>0.5</v>
      </c>
    </row>
    <row r="494" spans="2:12">
      <c r="B494" s="90" t="str">
        <f t="shared" si="243"/>
        <v>PV-06</v>
      </c>
      <c r="C494" s="263">
        <f t="shared" si="244"/>
        <v>79268</v>
      </c>
      <c r="D494" s="21">
        <f t="shared" si="245"/>
        <v>0.32400000000000001</v>
      </c>
      <c r="E494" s="21">
        <f t="shared" si="246"/>
        <v>1</v>
      </c>
      <c r="F494" s="21">
        <f t="shared" ref="F494:G494" si="270">+F424</f>
        <v>1.1599999999999999</v>
      </c>
      <c r="G494" s="21">
        <f t="shared" si="270"/>
        <v>1.5840000000000001</v>
      </c>
      <c r="H494" s="264">
        <v>0.1</v>
      </c>
      <c r="I494" s="21">
        <f t="shared" si="248"/>
        <v>0.19439999999999999</v>
      </c>
      <c r="J494" s="21">
        <f t="shared" si="249"/>
        <v>0.42959999999999998</v>
      </c>
      <c r="K494" s="21">
        <f t="shared" si="250"/>
        <v>0.3600000000000001</v>
      </c>
      <c r="L494" s="21">
        <v>0.5</v>
      </c>
    </row>
    <row r="495" spans="2:12">
      <c r="B495" s="276" t="str">
        <f t="shared" ref="B495:B512" si="271">+D425</f>
        <v>SUMIDEROS</v>
      </c>
      <c r="C495" s="277"/>
      <c r="D495" s="277"/>
      <c r="E495" s="277"/>
      <c r="F495" s="277"/>
      <c r="G495" s="277"/>
      <c r="H495" s="277"/>
      <c r="I495" s="277"/>
      <c r="J495" s="277"/>
      <c r="K495" s="277"/>
      <c r="L495" s="278"/>
    </row>
    <row r="496" spans="2:12">
      <c r="B496" s="90" t="str">
        <f t="shared" si="271"/>
        <v>S31</v>
      </c>
      <c r="C496" s="263">
        <f t="shared" ref="C496:C512" si="272">+E426</f>
        <v>77724</v>
      </c>
      <c r="D496" s="21">
        <f t="shared" si="245"/>
        <v>0.2732</v>
      </c>
      <c r="E496" s="21">
        <f t="shared" si="246"/>
        <v>1</v>
      </c>
      <c r="F496" s="21">
        <f t="shared" ref="F496:G496" si="273">+F426</f>
        <v>1</v>
      </c>
      <c r="G496" s="21">
        <f t="shared" si="273"/>
        <v>1.3732000000000002</v>
      </c>
      <c r="H496" s="264">
        <v>0.1</v>
      </c>
      <c r="I496" s="21">
        <f t="shared" si="248"/>
        <v>0.16391999999999998</v>
      </c>
      <c r="J496" s="21">
        <f t="shared" si="249"/>
        <v>0.40927999999999998</v>
      </c>
      <c r="K496" s="21">
        <f t="shared" si="250"/>
        <v>0.20000000000000029</v>
      </c>
      <c r="L496" s="21">
        <v>0.5</v>
      </c>
    </row>
    <row r="497" spans="2:12">
      <c r="B497" s="90" t="str">
        <f t="shared" si="271"/>
        <v>S32</v>
      </c>
      <c r="C497" s="263">
        <f t="shared" si="272"/>
        <v>77724</v>
      </c>
      <c r="D497" s="21">
        <f t="shared" si="245"/>
        <v>0.2732</v>
      </c>
      <c r="E497" s="21">
        <f t="shared" si="246"/>
        <v>1</v>
      </c>
      <c r="F497" s="21">
        <f t="shared" ref="F497:G497" si="274">+F427</f>
        <v>1</v>
      </c>
      <c r="G497" s="21">
        <f t="shared" si="274"/>
        <v>1.3732000000000002</v>
      </c>
      <c r="H497" s="264">
        <v>0.1</v>
      </c>
      <c r="I497" s="21">
        <f t="shared" si="248"/>
        <v>0.16391999999999998</v>
      </c>
      <c r="J497" s="21">
        <f t="shared" si="249"/>
        <v>0.40927999999999998</v>
      </c>
      <c r="K497" s="21">
        <f t="shared" si="250"/>
        <v>0.20000000000000029</v>
      </c>
      <c r="L497" s="21">
        <v>0.5</v>
      </c>
    </row>
    <row r="498" spans="2:12">
      <c r="B498" s="90" t="str">
        <f t="shared" si="271"/>
        <v>S33</v>
      </c>
      <c r="C498" s="263">
        <f t="shared" si="272"/>
        <v>125889</v>
      </c>
      <c r="D498" s="21">
        <f t="shared" si="245"/>
        <v>0.2732</v>
      </c>
      <c r="E498" s="21">
        <f t="shared" si="246"/>
        <v>1</v>
      </c>
      <c r="F498" s="21">
        <f t="shared" ref="F498:G498" si="275">+F428</f>
        <v>1.1200000000000001</v>
      </c>
      <c r="G498" s="21">
        <f t="shared" si="275"/>
        <v>1.4932000000000003</v>
      </c>
      <c r="H498" s="264">
        <v>0.1</v>
      </c>
      <c r="I498" s="21">
        <f t="shared" si="248"/>
        <v>0.16391999999999998</v>
      </c>
      <c r="J498" s="21">
        <f t="shared" si="249"/>
        <v>0.40927999999999998</v>
      </c>
      <c r="K498" s="21">
        <f t="shared" si="250"/>
        <v>0.32000000000000051</v>
      </c>
      <c r="L498" s="21">
        <v>0.5</v>
      </c>
    </row>
    <row r="499" spans="2:12">
      <c r="B499" s="90" t="str">
        <f t="shared" si="271"/>
        <v>S34</v>
      </c>
      <c r="C499" s="263">
        <f t="shared" si="272"/>
        <v>125889</v>
      </c>
      <c r="D499" s="21">
        <f t="shared" si="245"/>
        <v>0.2732</v>
      </c>
      <c r="E499" s="21">
        <f t="shared" si="246"/>
        <v>1</v>
      </c>
      <c r="F499" s="21">
        <f t="shared" ref="F499:G499" si="276">+F429</f>
        <v>1.1399999999999999</v>
      </c>
      <c r="G499" s="21">
        <f t="shared" si="276"/>
        <v>1.5131999999999999</v>
      </c>
      <c r="H499" s="264">
        <v>0.1</v>
      </c>
      <c r="I499" s="21">
        <f t="shared" si="248"/>
        <v>0.16391999999999998</v>
      </c>
      <c r="J499" s="21">
        <f t="shared" si="249"/>
        <v>0.40927999999999998</v>
      </c>
      <c r="K499" s="21">
        <f t="shared" si="250"/>
        <v>0.34000000000000008</v>
      </c>
      <c r="L499" s="21">
        <v>0.5</v>
      </c>
    </row>
    <row r="500" spans="2:12">
      <c r="B500" s="90" t="str">
        <f t="shared" si="271"/>
        <v>S35</v>
      </c>
      <c r="C500" s="263">
        <f t="shared" si="272"/>
        <v>125890</v>
      </c>
      <c r="D500" s="21">
        <f t="shared" si="245"/>
        <v>0.2732</v>
      </c>
      <c r="E500" s="21">
        <f t="shared" si="246"/>
        <v>1</v>
      </c>
      <c r="F500" s="21">
        <f t="shared" ref="F500:G500" si="277">+F430</f>
        <v>1.1200000000000001</v>
      </c>
      <c r="G500" s="21">
        <f t="shared" si="277"/>
        <v>1.4932000000000003</v>
      </c>
      <c r="H500" s="264">
        <v>0.1</v>
      </c>
      <c r="I500" s="21">
        <f t="shared" si="248"/>
        <v>0.16391999999999998</v>
      </c>
      <c r="J500" s="21">
        <f t="shared" si="249"/>
        <v>0.40927999999999998</v>
      </c>
      <c r="K500" s="21">
        <f t="shared" si="250"/>
        <v>0.32000000000000051</v>
      </c>
      <c r="L500" s="21">
        <v>0.5</v>
      </c>
    </row>
    <row r="501" spans="2:12">
      <c r="B501" s="90" t="str">
        <f t="shared" si="271"/>
        <v>S36</v>
      </c>
      <c r="C501" s="263">
        <f t="shared" si="272"/>
        <v>125890</v>
      </c>
      <c r="D501" s="21">
        <f t="shared" si="245"/>
        <v>0.2732</v>
      </c>
      <c r="E501" s="21">
        <f t="shared" si="246"/>
        <v>1</v>
      </c>
      <c r="F501" s="21">
        <f t="shared" ref="F501:G501" si="278">+F431</f>
        <v>1.1399999999999999</v>
      </c>
      <c r="G501" s="21">
        <f t="shared" si="278"/>
        <v>1.5131999999999999</v>
      </c>
      <c r="H501" s="264">
        <v>0.1</v>
      </c>
      <c r="I501" s="21">
        <f t="shared" si="248"/>
        <v>0.16391999999999998</v>
      </c>
      <c r="J501" s="21">
        <f t="shared" si="249"/>
        <v>0.40927999999999998</v>
      </c>
      <c r="K501" s="21">
        <f t="shared" si="250"/>
        <v>0.34000000000000008</v>
      </c>
      <c r="L501" s="21">
        <v>0.5</v>
      </c>
    </row>
    <row r="502" spans="2:12">
      <c r="B502" s="90" t="str">
        <f t="shared" si="271"/>
        <v>S37</v>
      </c>
      <c r="C502" s="263">
        <f t="shared" si="272"/>
        <v>77724</v>
      </c>
      <c r="D502" s="21">
        <f t="shared" si="245"/>
        <v>0.2732</v>
      </c>
      <c r="E502" s="21">
        <f t="shared" si="246"/>
        <v>1</v>
      </c>
      <c r="F502" s="21">
        <f t="shared" ref="F502:G502" si="279">+F432</f>
        <v>1</v>
      </c>
      <c r="G502" s="21">
        <f t="shared" si="279"/>
        <v>1.3732000000000002</v>
      </c>
      <c r="H502" s="264">
        <v>0.1</v>
      </c>
      <c r="I502" s="21">
        <f t="shared" si="248"/>
        <v>0.16391999999999998</v>
      </c>
      <c r="J502" s="21">
        <f t="shared" si="249"/>
        <v>0.40927999999999998</v>
      </c>
      <c r="K502" s="21">
        <f t="shared" si="250"/>
        <v>0.20000000000000029</v>
      </c>
      <c r="L502" s="21">
        <v>0.5</v>
      </c>
    </row>
    <row r="503" spans="2:12">
      <c r="B503" s="90" t="str">
        <f t="shared" si="271"/>
        <v>S38</v>
      </c>
      <c r="C503" s="263">
        <f t="shared" si="272"/>
        <v>77975</v>
      </c>
      <c r="D503" s="21">
        <f t="shared" si="245"/>
        <v>0.2732</v>
      </c>
      <c r="E503" s="21">
        <f t="shared" si="246"/>
        <v>1</v>
      </c>
      <c r="F503" s="21">
        <f t="shared" ref="F503:G503" si="280">+F433</f>
        <v>1.47</v>
      </c>
      <c r="G503" s="21">
        <f t="shared" si="280"/>
        <v>1.8431999999999999</v>
      </c>
      <c r="H503" s="264">
        <v>0.1</v>
      </c>
      <c r="I503" s="21">
        <f t="shared" si="248"/>
        <v>0.16391999999999998</v>
      </c>
      <c r="J503" s="21">
        <f t="shared" si="249"/>
        <v>0.40927999999999998</v>
      </c>
      <c r="K503" s="21">
        <f t="shared" si="250"/>
        <v>0.66999999999999993</v>
      </c>
      <c r="L503" s="21">
        <v>0.5</v>
      </c>
    </row>
    <row r="504" spans="2:12">
      <c r="B504" s="90" t="str">
        <f t="shared" si="271"/>
        <v>S39</v>
      </c>
      <c r="C504" s="263">
        <f t="shared" si="272"/>
        <v>78120</v>
      </c>
      <c r="D504" s="21">
        <f t="shared" si="245"/>
        <v>0.2732</v>
      </c>
      <c r="E504" s="21">
        <f t="shared" si="246"/>
        <v>1</v>
      </c>
      <c r="F504" s="21">
        <f t="shared" ref="F504:G504" si="281">+F434</f>
        <v>1.01</v>
      </c>
      <c r="G504" s="21">
        <f t="shared" si="281"/>
        <v>1.3832</v>
      </c>
      <c r="H504" s="264">
        <v>0.1</v>
      </c>
      <c r="I504" s="21">
        <f t="shared" si="248"/>
        <v>0.16391999999999998</v>
      </c>
      <c r="J504" s="21">
        <f t="shared" si="249"/>
        <v>0.40927999999999998</v>
      </c>
      <c r="K504" s="21">
        <f t="shared" si="250"/>
        <v>0.21000000000000008</v>
      </c>
      <c r="L504" s="21">
        <v>0.5</v>
      </c>
    </row>
    <row r="505" spans="2:12">
      <c r="B505" s="90" t="str">
        <f t="shared" si="271"/>
        <v>S46</v>
      </c>
      <c r="C505" s="263" t="str">
        <f t="shared" si="272"/>
        <v>PV-03</v>
      </c>
      <c r="D505" s="21">
        <f t="shared" si="245"/>
        <v>0.2732</v>
      </c>
      <c r="E505" s="21">
        <f t="shared" si="246"/>
        <v>1</v>
      </c>
      <c r="F505" s="21">
        <f t="shared" ref="F505:G505" si="282">+F435</f>
        <v>1.7</v>
      </c>
      <c r="G505" s="21">
        <f t="shared" si="282"/>
        <v>2.0731999999999999</v>
      </c>
      <c r="H505" s="264">
        <v>0.1</v>
      </c>
      <c r="I505" s="21">
        <f t="shared" si="248"/>
        <v>0.16391999999999998</v>
      </c>
      <c r="J505" s="21">
        <f t="shared" si="249"/>
        <v>0.40927999999999998</v>
      </c>
      <c r="K505" s="21">
        <f t="shared" si="250"/>
        <v>0.89999999999999991</v>
      </c>
      <c r="L505" s="21">
        <v>0.5</v>
      </c>
    </row>
    <row r="506" spans="2:12">
      <c r="B506" s="90" t="str">
        <f t="shared" si="271"/>
        <v>S47</v>
      </c>
      <c r="C506" s="263" t="str">
        <f t="shared" si="272"/>
        <v>PV-03</v>
      </c>
      <c r="D506" s="21">
        <f t="shared" si="245"/>
        <v>0.2732</v>
      </c>
      <c r="E506" s="21">
        <f t="shared" si="246"/>
        <v>1</v>
      </c>
      <c r="F506" s="21">
        <f t="shared" ref="F506:G506" si="283">+F436</f>
        <v>1.7</v>
      </c>
      <c r="G506" s="21">
        <f t="shared" si="283"/>
        <v>2.0731999999999999</v>
      </c>
      <c r="H506" s="264">
        <v>0.1</v>
      </c>
      <c r="I506" s="21">
        <f t="shared" si="248"/>
        <v>0.16391999999999998</v>
      </c>
      <c r="J506" s="21">
        <f t="shared" si="249"/>
        <v>0.40927999999999998</v>
      </c>
      <c r="K506" s="21">
        <f t="shared" si="250"/>
        <v>0.89999999999999991</v>
      </c>
      <c r="L506" s="21">
        <v>0.5</v>
      </c>
    </row>
    <row r="507" spans="2:12">
      <c r="B507" s="90" t="str">
        <f t="shared" si="271"/>
        <v>S48</v>
      </c>
      <c r="C507" s="263">
        <f t="shared" si="272"/>
        <v>78745</v>
      </c>
      <c r="D507" s="21">
        <f t="shared" si="245"/>
        <v>0.2732</v>
      </c>
      <c r="E507" s="21">
        <f t="shared" si="246"/>
        <v>1</v>
      </c>
      <c r="F507" s="21">
        <f t="shared" ref="F507:G507" si="284">+F437</f>
        <v>1.1399999999999999</v>
      </c>
      <c r="G507" s="21">
        <f t="shared" si="284"/>
        <v>1.5131999999999999</v>
      </c>
      <c r="H507" s="264">
        <v>0.1</v>
      </c>
      <c r="I507" s="21">
        <f t="shared" si="248"/>
        <v>0.16391999999999998</v>
      </c>
      <c r="J507" s="21">
        <f t="shared" si="249"/>
        <v>0.40927999999999998</v>
      </c>
      <c r="K507" s="21">
        <f t="shared" si="250"/>
        <v>0.34000000000000008</v>
      </c>
      <c r="L507" s="21">
        <v>0.5</v>
      </c>
    </row>
    <row r="508" spans="2:12">
      <c r="B508" s="90" t="str">
        <f t="shared" si="271"/>
        <v>S49</v>
      </c>
      <c r="C508" s="263">
        <f t="shared" si="272"/>
        <v>78745</v>
      </c>
      <c r="D508" s="21">
        <f t="shared" si="245"/>
        <v>0.2732</v>
      </c>
      <c r="E508" s="21">
        <f t="shared" si="246"/>
        <v>1</v>
      </c>
      <c r="F508" s="21">
        <f t="shared" ref="F508:G508" si="285">+F438</f>
        <v>1.17</v>
      </c>
      <c r="G508" s="21">
        <f t="shared" si="285"/>
        <v>1.5432000000000001</v>
      </c>
      <c r="H508" s="264">
        <v>0.1</v>
      </c>
      <c r="I508" s="21">
        <f t="shared" si="248"/>
        <v>0.16391999999999998</v>
      </c>
      <c r="J508" s="21">
        <f t="shared" si="249"/>
        <v>0.40927999999999998</v>
      </c>
      <c r="K508" s="21">
        <f t="shared" si="250"/>
        <v>0.37000000000000033</v>
      </c>
      <c r="L508" s="21">
        <v>0.5</v>
      </c>
    </row>
    <row r="509" spans="2:12">
      <c r="B509" s="90" t="str">
        <f t="shared" si="271"/>
        <v>S50</v>
      </c>
      <c r="C509" s="263">
        <f t="shared" si="272"/>
        <v>77970</v>
      </c>
      <c r="D509" s="21">
        <f t="shared" si="245"/>
        <v>0.2732</v>
      </c>
      <c r="E509" s="21">
        <f t="shared" si="246"/>
        <v>1</v>
      </c>
      <c r="F509" s="21">
        <f t="shared" ref="F509:G509" si="286">+F439</f>
        <v>1.1299999999999999</v>
      </c>
      <c r="G509" s="21">
        <f t="shared" si="286"/>
        <v>1.5032000000000001</v>
      </c>
      <c r="H509" s="264">
        <v>0.1</v>
      </c>
      <c r="I509" s="21">
        <f t="shared" si="248"/>
        <v>0.16391999999999998</v>
      </c>
      <c r="J509" s="21">
        <f t="shared" si="249"/>
        <v>0.40927999999999998</v>
      </c>
      <c r="K509" s="21">
        <f t="shared" si="250"/>
        <v>0.33000000000000029</v>
      </c>
      <c r="L509" s="21">
        <v>0.5</v>
      </c>
    </row>
    <row r="510" spans="2:12">
      <c r="B510" s="90" t="str">
        <f t="shared" si="271"/>
        <v>S51</v>
      </c>
      <c r="C510" s="263">
        <f t="shared" si="272"/>
        <v>77970</v>
      </c>
      <c r="D510" s="21">
        <f t="shared" si="245"/>
        <v>0.2732</v>
      </c>
      <c r="E510" s="21">
        <f t="shared" si="246"/>
        <v>1</v>
      </c>
      <c r="F510" s="21">
        <f t="shared" ref="F510:G510" si="287">+F440</f>
        <v>1.08</v>
      </c>
      <c r="G510" s="21">
        <f t="shared" si="287"/>
        <v>1.4532000000000003</v>
      </c>
      <c r="H510" s="264">
        <v>0.1</v>
      </c>
      <c r="I510" s="21">
        <f t="shared" si="248"/>
        <v>0.16391999999999998</v>
      </c>
      <c r="J510" s="21">
        <f t="shared" si="249"/>
        <v>0.40927999999999998</v>
      </c>
      <c r="K510" s="21">
        <f t="shared" si="250"/>
        <v>0.28000000000000047</v>
      </c>
      <c r="L510" s="21">
        <v>0.5</v>
      </c>
    </row>
    <row r="511" spans="2:12">
      <c r="B511" s="90" t="str">
        <f t="shared" si="271"/>
        <v>S52</v>
      </c>
      <c r="C511" s="263">
        <f t="shared" si="272"/>
        <v>77970</v>
      </c>
      <c r="D511" s="21">
        <f t="shared" si="245"/>
        <v>0.2732</v>
      </c>
      <c r="E511" s="21">
        <f t="shared" si="246"/>
        <v>1</v>
      </c>
      <c r="F511" s="21">
        <f t="shared" ref="F511:G511" si="288">+F441</f>
        <v>1.5</v>
      </c>
      <c r="G511" s="21">
        <f t="shared" si="288"/>
        <v>1.8732000000000002</v>
      </c>
      <c r="H511" s="264">
        <v>0.1</v>
      </c>
      <c r="I511" s="21">
        <f t="shared" si="248"/>
        <v>0.16391999999999998</v>
      </c>
      <c r="J511" s="21">
        <f t="shared" si="249"/>
        <v>0.40927999999999998</v>
      </c>
      <c r="K511" s="21">
        <f t="shared" si="250"/>
        <v>0.70000000000000018</v>
      </c>
      <c r="L511" s="21">
        <v>0.5</v>
      </c>
    </row>
    <row r="512" spans="2:12">
      <c r="B512" s="90" t="str">
        <f t="shared" si="271"/>
        <v>S53</v>
      </c>
      <c r="C512" s="263">
        <f t="shared" si="272"/>
        <v>77970</v>
      </c>
      <c r="D512" s="21">
        <f t="shared" si="245"/>
        <v>0.2732</v>
      </c>
      <c r="E512" s="21">
        <f t="shared" si="246"/>
        <v>1</v>
      </c>
      <c r="F512" s="21">
        <f t="shared" ref="F512:G512" si="289">+F442</f>
        <v>1.3</v>
      </c>
      <c r="G512" s="21">
        <f t="shared" si="289"/>
        <v>1.6732</v>
      </c>
      <c r="H512" s="264">
        <v>0.1</v>
      </c>
      <c r="I512" s="21">
        <f t="shared" si="248"/>
        <v>0.16391999999999998</v>
      </c>
      <c r="J512" s="21">
        <f t="shared" si="249"/>
        <v>0.40927999999999998</v>
      </c>
      <c r="K512" s="21">
        <f t="shared" si="250"/>
        <v>0.5</v>
      </c>
      <c r="L512" s="21">
        <v>0.5</v>
      </c>
    </row>
  </sheetData>
  <autoFilter ref="D471:I512" xr:uid="{0F9BACE7-96B9-447E-B25C-D1AE3C154722}"/>
  <mergeCells count="55">
    <mergeCell ref="AC224:AH224"/>
    <mergeCell ref="O229:P229"/>
    <mergeCell ref="Q229:R229"/>
    <mergeCell ref="S229:T229"/>
    <mergeCell ref="V229:W229"/>
    <mergeCell ref="X229:Y229"/>
    <mergeCell ref="Z229:AA229"/>
    <mergeCell ref="AC229:AD229"/>
    <mergeCell ref="AE229:AF229"/>
    <mergeCell ref="AG229:AH229"/>
    <mergeCell ref="A2:M2"/>
    <mergeCell ref="A3:M3"/>
    <mergeCell ref="A4:M4"/>
    <mergeCell ref="C99:C101"/>
    <mergeCell ref="A147:M148"/>
    <mergeCell ref="B64:L64"/>
    <mergeCell ref="B126:L126"/>
    <mergeCell ref="T160:AA160"/>
    <mergeCell ref="A222:M222"/>
    <mergeCell ref="A226:M227"/>
    <mergeCell ref="B249:B250"/>
    <mergeCell ref="C249:C250"/>
    <mergeCell ref="D249:D250"/>
    <mergeCell ref="E249:E250"/>
    <mergeCell ref="F249:F250"/>
    <mergeCell ref="I249:I250"/>
    <mergeCell ref="J249:J250"/>
    <mergeCell ref="S160:S161"/>
    <mergeCell ref="K249:K250"/>
    <mergeCell ref="B203:L203"/>
    <mergeCell ref="O224:T224"/>
    <mergeCell ref="V224:AA224"/>
    <mergeCell ref="D425:I425"/>
    <mergeCell ref="B273:L273"/>
    <mergeCell ref="C322:K322"/>
    <mergeCell ref="D378:J378"/>
    <mergeCell ref="A399:M399"/>
    <mergeCell ref="D401:D402"/>
    <mergeCell ref="E401:E402"/>
    <mergeCell ref="F401:F402"/>
    <mergeCell ref="G401:G402"/>
    <mergeCell ref="H401:H402"/>
    <mergeCell ref="I401:I402"/>
    <mergeCell ref="D471:D472"/>
    <mergeCell ref="E471:E472"/>
    <mergeCell ref="F471:F472"/>
    <mergeCell ref="B495:L495"/>
    <mergeCell ref="I471:I472"/>
    <mergeCell ref="B471:B472"/>
    <mergeCell ref="C471:C472"/>
    <mergeCell ref="H471:H472"/>
    <mergeCell ref="J471:J472"/>
    <mergeCell ref="G471:G472"/>
    <mergeCell ref="K471:K472"/>
    <mergeCell ref="L471:L472"/>
  </mergeCells>
  <conditionalFormatting sqref="L181:L202 L204:L220">
    <cfRule type="cellIs" dxfId="12" priority="1" stopIfTrue="1" operator="greaterThanOrEqual">
      <formula>5</formula>
    </cfRule>
  </conditionalFormatting>
  <printOptions horizontalCentered="1"/>
  <pageMargins left="0.78740157480314965" right="0.78740157480314965" top="1.1811023622047245" bottom="1.1811023622047245" header="0.78740157480314965" footer="0.78740157480314965"/>
  <pageSetup scale="52" fitToHeight="0" orientation="portrait" r:id="rId1"/>
  <rowBreaks count="6" manualBreakCount="6">
    <brk id="82" max="12" man="1"/>
    <brk id="144" max="12" man="1"/>
    <brk id="223" max="12" man="1"/>
    <brk id="291" max="12" man="1"/>
    <brk id="377" max="12" man="1"/>
    <brk id="443" max="12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05A64-8C66-4ED7-88BD-ECF827BFC2C0}">
  <sheetPr>
    <tabColor theme="7" tint="0.59999389629810485"/>
    <pageSetUpPr fitToPage="1"/>
  </sheetPr>
  <dimension ref="A1:J57"/>
  <sheetViews>
    <sheetView view="pageBreakPreview" topLeftCell="A37" zoomScaleNormal="100" zoomScaleSheetLayoutView="100" workbookViewId="0">
      <selection activeCell="E60" sqref="E60"/>
    </sheetView>
  </sheetViews>
  <sheetFormatPr baseColWidth="10" defaultColWidth="11.42578125" defaultRowHeight="12"/>
  <cols>
    <col min="1" max="1" width="11.42578125" style="1"/>
    <col min="2" max="2" width="17" style="1" customWidth="1"/>
    <col min="3" max="3" width="14.28515625" style="1" customWidth="1"/>
    <col min="4" max="6" width="11.42578125" style="1"/>
    <col min="7" max="7" width="12.85546875" style="1" bestFit="1" customWidth="1"/>
    <col min="8" max="16384" width="11.42578125" style="1"/>
  </cols>
  <sheetData>
    <row r="1" spans="1:10">
      <c r="A1" s="98"/>
      <c r="B1" s="98"/>
      <c r="C1" s="98"/>
      <c r="D1" s="98"/>
      <c r="E1" s="98"/>
      <c r="F1" s="98"/>
      <c r="G1" s="12"/>
    </row>
    <row r="2" spans="1:10">
      <c r="A2" s="265" t="s">
        <v>369</v>
      </c>
      <c r="B2" s="265"/>
      <c r="C2" s="265"/>
      <c r="D2" s="265"/>
      <c r="E2" s="265"/>
      <c r="F2" s="265"/>
      <c r="G2" s="265"/>
      <c r="H2" s="2"/>
    </row>
    <row r="3" spans="1:10">
      <c r="A3" s="266" t="s">
        <v>382</v>
      </c>
      <c r="B3" s="266"/>
      <c r="C3" s="266"/>
      <c r="D3" s="266"/>
      <c r="E3" s="266"/>
      <c r="F3" s="266"/>
      <c r="G3" s="266"/>
    </row>
    <row r="4" spans="1:10">
      <c r="A4" s="267" t="s">
        <v>373</v>
      </c>
      <c r="B4" s="267"/>
      <c r="C4" s="267"/>
      <c r="D4" s="267"/>
      <c r="E4" s="267"/>
      <c r="F4" s="267"/>
      <c r="G4" s="267"/>
    </row>
    <row r="5" spans="1:10" ht="8.25" customHeight="1">
      <c r="A5" s="251"/>
      <c r="B5" s="251"/>
      <c r="C5" s="251"/>
      <c r="D5" s="251"/>
      <c r="E5" s="251"/>
      <c r="F5" s="251"/>
      <c r="G5" s="12"/>
    </row>
    <row r="6" spans="1:10">
      <c r="A6" s="109" t="s">
        <v>79</v>
      </c>
      <c r="B6" s="12"/>
      <c r="C6" s="12"/>
      <c r="D6" s="12"/>
      <c r="E6" s="12"/>
      <c r="F6" s="12"/>
      <c r="G6" s="98"/>
    </row>
    <row r="7" spans="1:10">
      <c r="A7" s="109"/>
      <c r="B7" s="12"/>
      <c r="C7" s="12"/>
      <c r="D7" s="12"/>
      <c r="E7" s="12"/>
      <c r="F7" s="12"/>
      <c r="G7" s="98"/>
    </row>
    <row r="8" spans="1:10">
      <c r="A8" s="99" t="s">
        <v>133</v>
      </c>
      <c r="B8" s="103"/>
      <c r="C8" s="255" t="s">
        <v>370</v>
      </c>
      <c r="D8" s="12"/>
      <c r="E8" s="12"/>
      <c r="F8" s="12"/>
      <c r="G8" s="98"/>
    </row>
    <row r="9" spans="1:10">
      <c r="A9" s="99" t="s">
        <v>358</v>
      </c>
      <c r="B9" s="103"/>
      <c r="C9" s="104">
        <v>1.37</v>
      </c>
      <c r="D9" s="12"/>
      <c r="E9" s="12"/>
      <c r="F9" s="12"/>
      <c r="G9" s="98"/>
      <c r="H9" s="1" t="s">
        <v>355</v>
      </c>
      <c r="I9" s="1">
        <v>1.4</v>
      </c>
      <c r="J9" s="1" t="s">
        <v>87</v>
      </c>
    </row>
    <row r="10" spans="1:10">
      <c r="A10" s="99"/>
      <c r="B10" s="103"/>
      <c r="C10" s="104"/>
      <c r="D10" s="12"/>
      <c r="E10" s="12"/>
      <c r="F10" s="12"/>
      <c r="G10" s="98"/>
      <c r="H10" s="3" t="s">
        <v>356</v>
      </c>
      <c r="I10" s="1">
        <v>3.54</v>
      </c>
      <c r="J10" s="1" t="s">
        <v>87</v>
      </c>
    </row>
    <row r="11" spans="1:10">
      <c r="A11" s="99"/>
      <c r="B11" s="103"/>
      <c r="C11" s="104"/>
      <c r="D11" s="12"/>
      <c r="E11" s="12"/>
      <c r="F11" s="12"/>
      <c r="G11" s="98"/>
      <c r="H11" s="3" t="s">
        <v>360</v>
      </c>
      <c r="I11" s="1">
        <v>19.5</v>
      </c>
      <c r="J11" s="1" t="s">
        <v>361</v>
      </c>
    </row>
    <row r="12" spans="1:10">
      <c r="A12" s="99"/>
      <c r="B12" s="103"/>
      <c r="C12" s="104"/>
      <c r="D12" s="12"/>
      <c r="E12" s="12"/>
      <c r="F12" s="12"/>
      <c r="G12" s="98"/>
    </row>
    <row r="13" spans="1:10">
      <c r="A13" s="99"/>
      <c r="B13" s="103"/>
      <c r="C13" s="104"/>
      <c r="D13" s="12"/>
      <c r="E13" s="12"/>
      <c r="F13" s="12"/>
      <c r="G13" s="98"/>
    </row>
    <row r="14" spans="1:10">
      <c r="A14" s="99"/>
      <c r="B14" s="103"/>
      <c r="C14" s="104"/>
      <c r="D14" s="12"/>
      <c r="E14" s="12"/>
      <c r="F14" s="12"/>
      <c r="G14" s="98"/>
    </row>
    <row r="15" spans="1:10">
      <c r="A15" s="99"/>
      <c r="B15" s="103"/>
      <c r="C15" s="104"/>
      <c r="D15" s="12"/>
      <c r="E15" s="12"/>
      <c r="F15" s="12"/>
      <c r="G15" s="98"/>
    </row>
    <row r="16" spans="1:10" ht="24.75" customHeight="1">
      <c r="A16" s="307" t="s">
        <v>357</v>
      </c>
      <c r="B16" s="307"/>
      <c r="C16" s="34">
        <v>39</v>
      </c>
      <c r="D16" s="250"/>
      <c r="E16" s="99"/>
      <c r="F16" s="99"/>
      <c r="G16" s="99"/>
    </row>
    <row r="17" spans="1:8">
      <c r="A17" s="308" t="s">
        <v>359</v>
      </c>
      <c r="B17" s="308"/>
      <c r="C17" s="34">
        <v>5.7</v>
      </c>
      <c r="D17" s="73"/>
      <c r="E17" s="102"/>
      <c r="F17" s="12"/>
      <c r="G17" s="12"/>
    </row>
    <row r="18" spans="1:8" ht="13.5">
      <c r="A18" s="308" t="s">
        <v>365</v>
      </c>
      <c r="B18" s="308"/>
      <c r="C18" s="70">
        <f>+I11*I9</f>
        <v>27.299999999999997</v>
      </c>
      <c r="D18" s="73"/>
      <c r="E18" s="102"/>
      <c r="F18" s="12"/>
      <c r="G18" s="12"/>
      <c r="H18" s="3"/>
    </row>
    <row r="19" spans="1:8">
      <c r="A19" s="308" t="s">
        <v>362</v>
      </c>
      <c r="B19" s="308"/>
      <c r="C19" s="34">
        <v>1</v>
      </c>
      <c r="D19" s="73" t="s">
        <v>364</v>
      </c>
      <c r="E19" s="102"/>
      <c r="F19" s="12"/>
      <c r="G19" s="12"/>
      <c r="H19" s="3"/>
    </row>
    <row r="20" spans="1:8">
      <c r="A20" s="308" t="s">
        <v>363</v>
      </c>
      <c r="B20" s="308"/>
      <c r="C20" s="34">
        <v>3</v>
      </c>
      <c r="D20" s="252"/>
      <c r="E20" s="12"/>
      <c r="F20" s="12"/>
      <c r="G20" s="12"/>
      <c r="H20" s="3"/>
    </row>
    <row r="21" spans="1:8">
      <c r="A21" s="271"/>
      <c r="B21" s="271"/>
      <c r="C21" s="98"/>
      <c r="D21" s="98"/>
      <c r="E21" s="98"/>
      <c r="F21" s="98"/>
      <c r="G21" s="98"/>
    </row>
    <row r="22" spans="1:8" ht="8.25" customHeight="1">
      <c r="A22" s="98"/>
      <c r="B22" s="98"/>
      <c r="C22" s="98"/>
      <c r="D22" s="98"/>
      <c r="E22" s="98"/>
      <c r="F22" s="98"/>
      <c r="G22" s="98"/>
    </row>
    <row r="23" spans="1:8">
      <c r="A23" s="98" t="s">
        <v>80</v>
      </c>
      <c r="B23" s="98"/>
      <c r="C23" s="98"/>
      <c r="D23" s="98"/>
      <c r="E23" s="98"/>
      <c r="F23" s="98"/>
      <c r="G23" s="98"/>
    </row>
    <row r="24" spans="1:8">
      <c r="A24" s="98"/>
      <c r="B24" s="98"/>
      <c r="C24" s="98"/>
      <c r="D24" s="98"/>
      <c r="E24" s="98"/>
      <c r="F24" s="98"/>
      <c r="G24" s="98"/>
    </row>
    <row r="25" spans="1:8" ht="14.25">
      <c r="A25" s="98"/>
      <c r="B25" s="100" t="s">
        <v>92</v>
      </c>
      <c r="C25" s="101">
        <f>+((CU*C17)+(C18*C19))/C20</f>
        <v>83.2</v>
      </c>
      <c r="D25" s="253" t="s">
        <v>366</v>
      </c>
      <c r="E25" s="101">
        <f>+C25/10</f>
        <v>8.32</v>
      </c>
      <c r="F25" s="253" t="s">
        <v>91</v>
      </c>
      <c r="G25" s="110"/>
      <c r="H25" s="112"/>
    </row>
    <row r="26" spans="1:8">
      <c r="A26" s="98"/>
      <c r="B26" s="98"/>
      <c r="C26" s="98"/>
      <c r="D26" s="98"/>
      <c r="E26" s="98"/>
      <c r="F26" s="98"/>
      <c r="G26" s="98"/>
    </row>
    <row r="27" spans="1:8">
      <c r="A27" s="108" t="s">
        <v>371</v>
      </c>
      <c r="B27" s="98"/>
      <c r="C27" s="98"/>
      <c r="D27" s="98"/>
      <c r="E27" s="98"/>
      <c r="F27" s="98"/>
      <c r="G27" s="98"/>
    </row>
    <row r="28" spans="1:8">
      <c r="A28" s="98"/>
      <c r="B28" s="98"/>
      <c r="C28" s="98"/>
      <c r="D28" s="98"/>
      <c r="E28" s="98"/>
      <c r="F28" s="98"/>
      <c r="G28" s="98"/>
    </row>
    <row r="29" spans="1:8">
      <c r="A29" s="98" t="s">
        <v>367</v>
      </c>
      <c r="B29" s="98"/>
      <c r="C29" s="98"/>
      <c r="D29" s="98"/>
      <c r="E29" s="98"/>
      <c r="F29" s="98"/>
      <c r="G29" s="98"/>
    </row>
    <row r="30" spans="1:8">
      <c r="A30" s="98"/>
      <c r="B30" s="98"/>
      <c r="C30" s="98"/>
      <c r="D30" s="98"/>
      <c r="E30" s="98"/>
      <c r="F30" s="98"/>
      <c r="G30" s="98"/>
    </row>
    <row r="31" spans="1:8">
      <c r="A31" s="98"/>
      <c r="B31" s="98"/>
      <c r="C31" s="249"/>
      <c r="D31" s="6"/>
      <c r="E31" s="98"/>
      <c r="F31" s="98"/>
      <c r="G31" s="98"/>
    </row>
    <row r="32" spans="1:8">
      <c r="A32" s="98"/>
      <c r="B32" s="98"/>
      <c r="C32" s="249"/>
      <c r="D32" s="6"/>
      <c r="E32" s="98"/>
      <c r="F32" s="98"/>
      <c r="G32" s="98"/>
    </row>
    <row r="33" spans="1:7">
      <c r="A33" s="98"/>
      <c r="B33" s="98"/>
      <c r="C33" s="249"/>
      <c r="D33" s="6"/>
      <c r="E33" s="98"/>
      <c r="F33" s="98"/>
      <c r="G33" s="98"/>
    </row>
    <row r="34" spans="1:7">
      <c r="A34" s="98"/>
      <c r="B34" s="98"/>
      <c r="C34" s="249"/>
      <c r="D34" s="6"/>
      <c r="E34" s="98"/>
      <c r="F34" s="98"/>
      <c r="G34" s="98"/>
    </row>
    <row r="35" spans="1:7" ht="9" customHeight="1">
      <c r="A35" s="98"/>
      <c r="B35" s="98"/>
      <c r="C35" s="249"/>
      <c r="D35" s="6"/>
      <c r="E35" s="98"/>
      <c r="F35" s="98"/>
      <c r="G35" s="98"/>
    </row>
    <row r="36" spans="1:7">
      <c r="A36" s="98" t="s">
        <v>2</v>
      </c>
      <c r="B36" s="98"/>
      <c r="C36" s="98"/>
      <c r="D36" s="98"/>
      <c r="E36" s="98"/>
      <c r="F36" s="12"/>
      <c r="G36" s="12"/>
    </row>
    <row r="37" spans="1:7">
      <c r="A37" s="98"/>
      <c r="B37" s="253" t="s">
        <v>85</v>
      </c>
      <c r="C37" s="105" t="s">
        <v>86</v>
      </c>
      <c r="D37" s="98"/>
      <c r="E37" s="98"/>
      <c r="F37" s="106">
        <f>+I10</f>
        <v>3.54</v>
      </c>
      <c r="G37" s="12" t="s">
        <v>87</v>
      </c>
    </row>
    <row r="38" spans="1:7" ht="13.5">
      <c r="A38" s="98"/>
      <c r="B38" s="253" t="s">
        <v>127</v>
      </c>
      <c r="C38" s="105" t="s">
        <v>88</v>
      </c>
      <c r="D38" s="98"/>
      <c r="E38" s="98"/>
      <c r="F38" s="106">
        <f>+CU</f>
        <v>39</v>
      </c>
      <c r="G38" s="102" t="s">
        <v>91</v>
      </c>
    </row>
    <row r="39" spans="1:7">
      <c r="A39" s="98"/>
      <c r="B39" s="253" t="s">
        <v>89</v>
      </c>
      <c r="C39" s="105" t="s">
        <v>90</v>
      </c>
      <c r="D39" s="98"/>
      <c r="E39" s="98"/>
      <c r="F39" s="106">
        <v>1</v>
      </c>
      <c r="G39" s="12" t="s">
        <v>87</v>
      </c>
    </row>
    <row r="40" spans="1:7" ht="13.5">
      <c r="A40" s="98"/>
      <c r="B40" s="6" t="s">
        <v>94</v>
      </c>
      <c r="C40" s="15">
        <v>19.5</v>
      </c>
      <c r="D40" s="105" t="s">
        <v>93</v>
      </c>
      <c r="E40" s="98"/>
      <c r="F40" s="12"/>
      <c r="G40" s="12"/>
    </row>
    <row r="41" spans="1:7">
      <c r="A41" s="98"/>
      <c r="B41" s="98"/>
      <c r="C41" s="98"/>
      <c r="D41" s="98"/>
      <c r="E41" s="98"/>
      <c r="F41" s="12"/>
      <c r="G41" s="12"/>
    </row>
    <row r="42" spans="1:7">
      <c r="A42" s="98"/>
      <c r="B42" s="7"/>
      <c r="C42" s="8"/>
      <c r="D42" s="9"/>
      <c r="E42" s="98"/>
      <c r="F42" s="12"/>
      <c r="G42" s="12"/>
    </row>
    <row r="43" spans="1:7">
      <c r="A43" s="98"/>
      <c r="B43" s="98"/>
      <c r="C43" s="8"/>
      <c r="D43" s="98"/>
      <c r="E43" s="98"/>
      <c r="F43" s="12"/>
      <c r="G43" s="12"/>
    </row>
    <row r="44" spans="1:7">
      <c r="A44" s="98"/>
      <c r="B44" s="253" t="str">
        <f>CONCATENATE("H = ",Alt," m")</f>
        <v>H = 3,54 m</v>
      </c>
      <c r="C44" s="10" t="str">
        <f>CONCATENATE("Bd = ",Bd," m")</f>
        <v>Bd = 1 m</v>
      </c>
      <c r="D44" s="98"/>
      <c r="E44" s="253"/>
      <c r="F44" s="101"/>
      <c r="G44" s="105"/>
    </row>
    <row r="45" spans="1:7">
      <c r="A45" s="98"/>
      <c r="B45" s="98"/>
      <c r="C45" s="8"/>
      <c r="D45" s="98"/>
      <c r="E45" s="98"/>
      <c r="F45" s="98"/>
      <c r="G45" s="98"/>
    </row>
    <row r="46" spans="1:7">
      <c r="A46" s="98"/>
      <c r="B46" s="98"/>
      <c r="C46" s="11"/>
      <c r="D46" s="98"/>
      <c r="E46" s="98"/>
      <c r="F46" s="98"/>
      <c r="G46" s="98"/>
    </row>
    <row r="47" spans="1:7">
      <c r="A47" s="98"/>
      <c r="B47" s="98"/>
      <c r="C47" s="98"/>
      <c r="D47" s="98"/>
      <c r="E47" s="98"/>
      <c r="F47" s="98"/>
      <c r="G47" s="98"/>
    </row>
    <row r="48" spans="1:7">
      <c r="A48" s="98"/>
      <c r="B48" s="100" t="s">
        <v>61</v>
      </c>
      <c r="C48" s="69">
        <f>(1/Alt)*(5.7*F38)/(C40-((CU/100)/(0.7*Bd)))</f>
        <v>3.3150548354935196</v>
      </c>
      <c r="D48" s="98" t="s">
        <v>81</v>
      </c>
      <c r="E48" s="98" t="str">
        <f>IF(C48&gt;1.5,"OK","NO CUMPLE")</f>
        <v>OK</v>
      </c>
      <c r="F48" s="98"/>
      <c r="G48" s="98"/>
    </row>
    <row r="49" spans="1:10">
      <c r="A49" s="98"/>
      <c r="B49" s="98"/>
      <c r="C49" s="98"/>
      <c r="D49" s="98"/>
      <c r="E49" s="98"/>
      <c r="F49" s="98"/>
      <c r="G49" s="98"/>
    </row>
    <row r="50" spans="1:10">
      <c r="A50" s="108" t="s">
        <v>372</v>
      </c>
      <c r="B50" s="98"/>
      <c r="C50" s="98"/>
      <c r="D50" s="98"/>
      <c r="E50" s="98"/>
      <c r="F50" s="98"/>
      <c r="G50" s="98"/>
    </row>
    <row r="51" spans="1:10">
      <c r="A51" s="98"/>
      <c r="B51" s="98"/>
      <c r="C51" s="98"/>
      <c r="D51" s="98"/>
      <c r="E51" s="98"/>
      <c r="F51" s="98"/>
      <c r="G51" s="98"/>
    </row>
    <row r="52" spans="1:10">
      <c r="A52" s="98" t="s">
        <v>387</v>
      </c>
      <c r="B52" s="98"/>
      <c r="C52" s="98"/>
      <c r="D52" s="98"/>
      <c r="E52" s="98"/>
      <c r="F52" s="98"/>
      <c r="G52" s="98"/>
    </row>
    <row r="53" spans="1:10">
      <c r="A53" s="98"/>
      <c r="B53" s="98"/>
      <c r="C53" s="98"/>
      <c r="D53" s="98"/>
      <c r="E53" s="98"/>
      <c r="F53" s="98"/>
      <c r="G53" s="98"/>
    </row>
    <row r="54" spans="1:10">
      <c r="A54" s="272" t="s">
        <v>368</v>
      </c>
      <c r="B54" s="5" t="s">
        <v>82</v>
      </c>
      <c r="C54" s="273" t="s">
        <v>83</v>
      </c>
      <c r="D54" s="269">
        <f>+(2*F38)/(3*C40)</f>
        <v>1.3333333333333333</v>
      </c>
      <c r="F54" s="98"/>
      <c r="G54" s="98"/>
      <c r="H54" s="258"/>
      <c r="I54" s="259"/>
      <c r="J54" s="257"/>
    </row>
    <row r="55" spans="1:10">
      <c r="A55" s="272"/>
      <c r="B55" s="253" t="s">
        <v>95</v>
      </c>
      <c r="C55" s="273"/>
      <c r="D55" s="269"/>
      <c r="E55" s="98"/>
      <c r="F55" s="98"/>
      <c r="G55" s="98"/>
    </row>
    <row r="56" spans="1:10">
      <c r="A56" s="98"/>
      <c r="B56" s="98"/>
      <c r="C56" s="98"/>
      <c r="D56" s="98"/>
      <c r="E56" s="98"/>
      <c r="F56" s="98"/>
      <c r="G56" s="98"/>
    </row>
    <row r="57" spans="1:10">
      <c r="A57" s="98" t="s">
        <v>84</v>
      </c>
      <c r="B57" s="98"/>
      <c r="C57" s="98"/>
      <c r="D57" s="98"/>
      <c r="E57" s="98"/>
      <c r="F57" s="98"/>
      <c r="G57" s="98"/>
    </row>
  </sheetData>
  <mergeCells count="12">
    <mergeCell ref="D54:D55"/>
    <mergeCell ref="A2:G2"/>
    <mergeCell ref="A3:G3"/>
    <mergeCell ref="A4:G4"/>
    <mergeCell ref="A16:B16"/>
    <mergeCell ref="A17:B17"/>
    <mergeCell ref="A18:B18"/>
    <mergeCell ref="A19:B19"/>
    <mergeCell ref="A20:B20"/>
    <mergeCell ref="A21:B21"/>
    <mergeCell ref="A54:A55"/>
    <mergeCell ref="C54:C55"/>
  </mergeCells>
  <conditionalFormatting sqref="C48">
    <cfRule type="cellIs" dxfId="11" priority="1" stopIfTrue="1" operator="lessThanOrEqual">
      <formula>1.5</formula>
    </cfRule>
  </conditionalFormatting>
  <printOptions horizontalCentered="1"/>
  <pageMargins left="0.94488188976377963" right="0.59055118110236227" top="0.78740157480314965" bottom="0.78740157480314965" header="0.78740157480314965" footer="0.78740157480314965"/>
  <pageSetup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75D66-0000-4ADA-9A69-0098EF5237E6}">
  <sheetPr>
    <tabColor theme="9" tint="0.59999389629810485"/>
    <pageSetUpPr fitToPage="1"/>
  </sheetPr>
  <dimension ref="A2:IF501"/>
  <sheetViews>
    <sheetView view="pageBreakPreview" topLeftCell="F98" zoomScaleNormal="90" zoomScaleSheetLayoutView="100" workbookViewId="0">
      <pane ySplit="2925" topLeftCell="A198" activePane="bottomLeft"/>
      <selection activeCell="H161" sqref="H161"/>
      <selection pane="bottomLeft" activeCell="J215" sqref="J215"/>
    </sheetView>
  </sheetViews>
  <sheetFormatPr baseColWidth="10" defaultColWidth="11.42578125" defaultRowHeight="12"/>
  <cols>
    <col min="1" max="2" width="9.140625" style="17" customWidth="1"/>
    <col min="3" max="3" width="9.5703125" style="17" customWidth="1"/>
    <col min="4" max="4" width="9.28515625" style="17" customWidth="1"/>
    <col min="5" max="5" width="12.140625" style="17" customWidth="1"/>
    <col min="6" max="6" width="11.85546875" style="17" customWidth="1"/>
    <col min="7" max="7" width="14.42578125" style="17" customWidth="1"/>
    <col min="8" max="8" width="12.7109375" style="17" customWidth="1"/>
    <col min="9" max="10" width="12.5703125" style="17" customWidth="1"/>
    <col min="11" max="11" width="13.5703125" style="17" customWidth="1"/>
    <col min="12" max="12" width="12.5703125" style="17" customWidth="1"/>
    <col min="13" max="13" width="12.85546875" style="17" customWidth="1"/>
    <col min="14" max="14" width="11.42578125" style="17"/>
    <col min="15" max="16" width="11.85546875" style="17" bestFit="1" customWidth="1"/>
    <col min="17" max="17" width="11.85546875" style="17" customWidth="1"/>
    <col min="18" max="18" width="11.85546875" style="17" bestFit="1" customWidth="1"/>
    <col min="19" max="19" width="16.28515625" style="17" bestFit="1" customWidth="1"/>
    <col min="20" max="20" width="11.85546875" style="17" bestFit="1" customWidth="1"/>
    <col min="21" max="21" width="15.140625" style="17" customWidth="1"/>
    <col min="22" max="22" width="11.5703125" style="17" bestFit="1" customWidth="1"/>
    <col min="23" max="23" width="15" style="17" customWidth="1"/>
    <col min="24" max="24" width="11.5703125" style="17" bestFit="1" customWidth="1"/>
    <col min="25" max="16384" width="11.42578125" style="17"/>
  </cols>
  <sheetData>
    <row r="2" spans="1:13" ht="12.75" customHeight="1">
      <c r="A2" s="302" t="s">
        <v>236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3" spans="1:13" s="56" customFormat="1" ht="12.75" customHeight="1">
      <c r="A3" s="303" t="s">
        <v>383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</row>
    <row r="4" spans="1:13" s="56" customFormat="1" ht="12.75" customHeight="1">
      <c r="A4" s="303" t="s">
        <v>373</v>
      </c>
      <c r="B4" s="303"/>
      <c r="C4" s="303"/>
      <c r="D4" s="303"/>
      <c r="E4" s="303"/>
      <c r="F4" s="303"/>
      <c r="G4" s="303"/>
      <c r="H4" s="303"/>
      <c r="I4" s="303"/>
      <c r="J4" s="303"/>
      <c r="K4" s="303"/>
      <c r="L4" s="303"/>
      <c r="M4" s="303"/>
    </row>
    <row r="6" spans="1:13">
      <c r="A6" s="19" t="s">
        <v>78</v>
      </c>
    </row>
    <row r="8" spans="1:13">
      <c r="A8" s="19" t="s">
        <v>0</v>
      </c>
    </row>
    <row r="9" spans="1:13">
      <c r="A9" s="19"/>
    </row>
    <row r="10" spans="1:13">
      <c r="A10" s="19" t="s">
        <v>1</v>
      </c>
    </row>
    <row r="11" spans="1:13" ht="12.75" customHeight="1"/>
    <row r="12" spans="1:13" ht="12.75" customHeight="1"/>
    <row r="13" spans="1:13" ht="12.75" customHeight="1"/>
    <row r="14" spans="1:13">
      <c r="E14" s="20"/>
      <c r="F14" s="20"/>
      <c r="G14" s="18"/>
    </row>
    <row r="15" spans="1:13">
      <c r="D15" s="17" t="s">
        <v>2</v>
      </c>
    </row>
    <row r="16" spans="1:13">
      <c r="E16" s="20"/>
      <c r="F16" s="20"/>
      <c r="G16" s="18"/>
    </row>
    <row r="17" spans="1:15">
      <c r="E17" s="20"/>
      <c r="F17" s="20"/>
      <c r="G17" s="18"/>
    </row>
    <row r="18" spans="1:15">
      <c r="E18" s="20"/>
      <c r="F18" s="20"/>
      <c r="G18" s="18"/>
    </row>
    <row r="19" spans="1:15">
      <c r="E19" s="20"/>
      <c r="F19" s="20"/>
      <c r="G19" s="18"/>
    </row>
    <row r="20" spans="1:15">
      <c r="E20" s="20"/>
      <c r="F20" s="20"/>
      <c r="G20" s="18"/>
    </row>
    <row r="21" spans="1:15">
      <c r="E21" s="20"/>
      <c r="F21" s="20"/>
      <c r="G21" s="18"/>
    </row>
    <row r="22" spans="1:15">
      <c r="E22" s="20"/>
      <c r="F22" s="20"/>
      <c r="G22" s="18"/>
    </row>
    <row r="23" spans="1:15">
      <c r="E23" s="20"/>
      <c r="F23" s="20"/>
      <c r="G23" s="18"/>
    </row>
    <row r="24" spans="1:15" ht="7.5" customHeight="1">
      <c r="E24" s="20"/>
      <c r="F24" s="20"/>
      <c r="G24" s="18"/>
    </row>
    <row r="26" spans="1:15">
      <c r="A26" s="19" t="s">
        <v>3</v>
      </c>
      <c r="G26" s="18"/>
    </row>
    <row r="27" spans="1:15">
      <c r="G27" s="18"/>
    </row>
    <row r="28" spans="1:15">
      <c r="G28" s="18"/>
    </row>
    <row r="29" spans="1:15">
      <c r="G29" s="18"/>
    </row>
    <row r="30" spans="1:15">
      <c r="E30" s="20"/>
      <c r="F30" s="20"/>
      <c r="G30" s="18"/>
    </row>
    <row r="31" spans="1:15">
      <c r="D31" s="17" t="s">
        <v>2</v>
      </c>
      <c r="G31" s="18"/>
      <c r="N31" s="29"/>
      <c r="O31" s="29"/>
    </row>
    <row r="32" spans="1:15">
      <c r="G32" s="18"/>
      <c r="N32" s="29"/>
      <c r="O32" s="29"/>
    </row>
    <row r="33" spans="1:22">
      <c r="E33" s="20"/>
      <c r="F33" s="20"/>
      <c r="G33" s="18"/>
      <c r="N33" s="29"/>
      <c r="O33" s="29"/>
    </row>
    <row r="34" spans="1:22" ht="18.75" customHeight="1">
      <c r="E34" s="22"/>
      <c r="F34" s="22"/>
      <c r="G34" s="18"/>
      <c r="N34" s="29"/>
      <c r="O34" s="29"/>
    </row>
    <row r="35" spans="1:22">
      <c r="A35" s="17" t="s">
        <v>4</v>
      </c>
      <c r="N35" s="29"/>
      <c r="O35" s="29"/>
    </row>
    <row r="36" spans="1:22" ht="16.5" customHeight="1">
      <c r="N36" s="29"/>
      <c r="O36" s="29"/>
    </row>
    <row r="37" spans="1:22">
      <c r="C37" s="23" t="s">
        <v>96</v>
      </c>
      <c r="D37" s="41">
        <v>30</v>
      </c>
      <c r="E37" s="130"/>
      <c r="F37" s="131" t="s">
        <v>97</v>
      </c>
      <c r="G37" s="132">
        <f>D37*PI()/180</f>
        <v>0.52359877559829882</v>
      </c>
      <c r="K37" s="26"/>
    </row>
    <row r="38" spans="1:22" ht="13.5">
      <c r="C38" s="27" t="s">
        <v>5</v>
      </c>
      <c r="D38" s="132">
        <f>(TAN(PI()/4-G37/2))^2</f>
        <v>0.33333333333333343</v>
      </c>
      <c r="E38" s="130"/>
      <c r="F38" s="131" t="s">
        <v>98</v>
      </c>
      <c r="G38" s="54">
        <v>20</v>
      </c>
      <c r="K38" s="26"/>
    </row>
    <row r="39" spans="1:22">
      <c r="C39" s="23" t="s">
        <v>99</v>
      </c>
      <c r="D39" s="25">
        <f>TAN(G37)</f>
        <v>0.57735026918962573</v>
      </c>
      <c r="E39" s="24"/>
      <c r="K39" s="26"/>
    </row>
    <row r="41" spans="1:22" s="31" customFormat="1" ht="30" customHeight="1">
      <c r="A41" s="168"/>
      <c r="B41" s="138" t="s">
        <v>128</v>
      </c>
      <c r="C41" s="163" t="s">
        <v>129</v>
      </c>
      <c r="D41" s="163" t="s">
        <v>130</v>
      </c>
      <c r="E41" s="163" t="s">
        <v>209</v>
      </c>
      <c r="F41" s="163" t="s">
        <v>208</v>
      </c>
      <c r="G41" s="163" t="s">
        <v>223</v>
      </c>
      <c r="H41" s="163" t="s">
        <v>207</v>
      </c>
      <c r="I41" s="163" t="s">
        <v>205</v>
      </c>
      <c r="J41" s="165" t="s">
        <v>10</v>
      </c>
      <c r="K41" s="163" t="s">
        <v>206</v>
      </c>
      <c r="L41" s="163" t="s">
        <v>202</v>
      </c>
      <c r="O41" s="138" t="s">
        <v>203</v>
      </c>
      <c r="P41" s="159" t="s">
        <v>11</v>
      </c>
      <c r="Q41" s="137" t="s">
        <v>12</v>
      </c>
      <c r="R41" s="162"/>
      <c r="S41" s="158"/>
      <c r="V41" s="17"/>
    </row>
    <row r="42" spans="1:22" ht="13.5" customHeight="1">
      <c r="A42" s="169"/>
      <c r="B42" s="55">
        <v>131946</v>
      </c>
      <c r="C42" s="178" t="s">
        <v>157</v>
      </c>
      <c r="D42" s="53">
        <v>7.41</v>
      </c>
      <c r="E42" s="55">
        <v>8</v>
      </c>
      <c r="F42" s="134">
        <f>+INDEX(Especificaciones!$C$5:$C$25,MATCH('Flexible - Altamira'!O42,Especificaciones!$B$5:$B$25,-1))</f>
        <v>0.2732</v>
      </c>
      <c r="G42" s="53">
        <v>2877.38</v>
      </c>
      <c r="H42" s="53">
        <v>2.73</v>
      </c>
      <c r="I42" s="53">
        <v>1</v>
      </c>
      <c r="J42" s="32">
        <f>IF(I42&gt;=2*F42,H42/F42,(1-EXP(-2*$D$38*$D$39*H42/I42))/(2*$D$38*$D$39))</f>
        <v>9.9926793557833093</v>
      </c>
      <c r="K42" s="135">
        <f t="shared" ref="K42:K58" si="0">IF(I42&gt;=2*F42,J42*$G$38*F42^2,J42*$G$38*I42*F42)</f>
        <v>14.91672</v>
      </c>
      <c r="L42" s="135" t="s">
        <v>17</v>
      </c>
      <c r="N42" s="38"/>
      <c r="O42" s="55">
        <v>203.2</v>
      </c>
      <c r="P42" s="21">
        <f t="shared" ref="P42:P58" si="1">+F42+H42+0.1</f>
        <v>3.1032000000000002</v>
      </c>
      <c r="Q42" s="21">
        <f>P42*1.5</f>
        <v>4.6547999999999998</v>
      </c>
      <c r="R42" s="13"/>
      <c r="S42" s="14"/>
      <c r="T42" s="29"/>
      <c r="U42" s="14"/>
      <c r="V42" s="29"/>
    </row>
    <row r="43" spans="1:22" ht="13.5" customHeight="1">
      <c r="A43" s="169"/>
      <c r="B43" s="55" t="s">
        <v>157</v>
      </c>
      <c r="C43" s="178">
        <v>131916</v>
      </c>
      <c r="D43" s="53">
        <v>51.05</v>
      </c>
      <c r="E43" s="55">
        <v>8</v>
      </c>
      <c r="F43" s="134">
        <f>+INDEX(Especificaciones!$C$5:$C$25,MATCH('Flexible - Altamira'!O43,Especificaciones!$B$5:$B$25,-1))</f>
        <v>0.2732</v>
      </c>
      <c r="G43" s="53">
        <v>2876.61</v>
      </c>
      <c r="H43" s="53">
        <v>2.76</v>
      </c>
      <c r="I43" s="53">
        <v>1</v>
      </c>
      <c r="J43" s="32">
        <f t="shared" ref="J43:J58" si="2">IF(I43&gt;=2*F43,H43/F43,(1-EXP(-2*$D$38*$D$39*H43/I43))/(2*$D$38*$D$39))</f>
        <v>10.102489019033674</v>
      </c>
      <c r="K43" s="135">
        <f t="shared" si="0"/>
        <v>15.080639999999999</v>
      </c>
      <c r="L43" s="135" t="s">
        <v>17</v>
      </c>
      <c r="N43" s="38"/>
      <c r="O43" s="55">
        <v>203.2</v>
      </c>
      <c r="P43" s="21">
        <f t="shared" si="1"/>
        <v>3.1332</v>
      </c>
      <c r="Q43" s="21">
        <f t="shared" ref="Q43:Q58" si="3">P43*1.5</f>
        <v>4.6997999999999998</v>
      </c>
      <c r="R43" s="13"/>
      <c r="S43" s="14"/>
      <c r="T43" s="29"/>
      <c r="U43" s="14"/>
      <c r="V43" s="29"/>
    </row>
    <row r="44" spans="1:22" ht="13.5" customHeight="1">
      <c r="A44" s="169"/>
      <c r="B44" s="55">
        <v>80268</v>
      </c>
      <c r="C44" s="178">
        <v>131796</v>
      </c>
      <c r="D44" s="53">
        <v>58.81</v>
      </c>
      <c r="E44" s="55">
        <v>8</v>
      </c>
      <c r="F44" s="134">
        <f>+INDEX(Especificaciones!$C$5:$C$25,MATCH('Flexible - Altamira'!O44,Especificaciones!$B$5:$B$25,-1))</f>
        <v>0.2732</v>
      </c>
      <c r="G44" s="53">
        <v>2877.1</v>
      </c>
      <c r="H44" s="53">
        <v>2.98</v>
      </c>
      <c r="I44" s="53">
        <v>1</v>
      </c>
      <c r="J44" s="32">
        <f t="shared" si="2"/>
        <v>10.907759882869692</v>
      </c>
      <c r="K44" s="135">
        <f t="shared" si="0"/>
        <v>16.282719999999998</v>
      </c>
      <c r="L44" s="135" t="s">
        <v>17</v>
      </c>
      <c r="N44" s="38"/>
      <c r="O44" s="55">
        <v>203.2</v>
      </c>
      <c r="P44" s="21">
        <f t="shared" si="1"/>
        <v>3.3532000000000002</v>
      </c>
      <c r="Q44" s="21">
        <f t="shared" si="3"/>
        <v>5.0297999999999998</v>
      </c>
      <c r="R44" s="13"/>
      <c r="S44" s="14"/>
      <c r="T44" s="29"/>
      <c r="U44" s="14"/>
      <c r="V44" s="29"/>
    </row>
    <row r="45" spans="1:22" ht="13.5" customHeight="1">
      <c r="A45" s="169"/>
      <c r="B45" s="55">
        <v>131796</v>
      </c>
      <c r="C45" s="178">
        <v>131732</v>
      </c>
      <c r="D45" s="53">
        <v>62.58</v>
      </c>
      <c r="E45" s="55">
        <v>8</v>
      </c>
      <c r="F45" s="134">
        <f>+INDEX(Especificaciones!$C$5:$C$25,MATCH('Flexible - Altamira'!O45,Especificaciones!$B$5:$B$25,-1))</f>
        <v>0.2732</v>
      </c>
      <c r="G45" s="53">
        <v>2873.09</v>
      </c>
      <c r="H45" s="53">
        <v>3.17</v>
      </c>
      <c r="I45" s="53">
        <v>1</v>
      </c>
      <c r="J45" s="32">
        <f t="shared" si="2"/>
        <v>11.603221083455344</v>
      </c>
      <c r="K45" s="135">
        <f t="shared" si="0"/>
        <v>17.320879999999999</v>
      </c>
      <c r="L45" s="135" t="s">
        <v>17</v>
      </c>
      <c r="N45" s="38"/>
      <c r="O45" s="55">
        <v>203.2</v>
      </c>
      <c r="P45" s="21">
        <f t="shared" si="1"/>
        <v>3.5432000000000001</v>
      </c>
      <c r="Q45" s="21">
        <f t="shared" si="3"/>
        <v>5.3148</v>
      </c>
      <c r="R45" s="13"/>
      <c r="S45" s="14"/>
      <c r="T45" s="29"/>
      <c r="U45" s="14"/>
      <c r="V45" s="29"/>
    </row>
    <row r="46" spans="1:22" ht="13.5" customHeight="1">
      <c r="A46" s="169"/>
      <c r="B46" s="55" t="s">
        <v>158</v>
      </c>
      <c r="C46" s="178" t="s">
        <v>159</v>
      </c>
      <c r="D46" s="53">
        <v>30.3</v>
      </c>
      <c r="E46" s="55">
        <v>10</v>
      </c>
      <c r="F46" s="134">
        <f>+INDEX(Especificaciones!$C$5:$C$25,MATCH('Flexible - Altamira'!O46,Especificaciones!$B$5:$B$25,-1))</f>
        <v>0.32400000000000001</v>
      </c>
      <c r="G46" s="53">
        <v>2873.3</v>
      </c>
      <c r="H46" s="53">
        <v>2.98</v>
      </c>
      <c r="I46" s="53">
        <v>1</v>
      </c>
      <c r="J46" s="32">
        <f t="shared" si="2"/>
        <v>9.19753086419753</v>
      </c>
      <c r="K46" s="135">
        <f t="shared" si="0"/>
        <v>19.310399999999998</v>
      </c>
      <c r="L46" s="135" t="s">
        <v>17</v>
      </c>
      <c r="N46" s="38"/>
      <c r="O46" s="55">
        <v>254</v>
      </c>
      <c r="P46" s="21">
        <f t="shared" si="1"/>
        <v>3.4039999999999999</v>
      </c>
      <c r="Q46" s="21">
        <f t="shared" si="3"/>
        <v>5.1059999999999999</v>
      </c>
      <c r="R46" s="13"/>
      <c r="S46" s="14"/>
      <c r="T46" s="29"/>
      <c r="U46" s="14"/>
      <c r="V46" s="29"/>
    </row>
    <row r="47" spans="1:22" ht="13.5" customHeight="1">
      <c r="A47" s="169"/>
      <c r="B47" s="55" t="s">
        <v>159</v>
      </c>
      <c r="C47" s="178">
        <v>131732</v>
      </c>
      <c r="D47" s="53">
        <v>30.16</v>
      </c>
      <c r="E47" s="55">
        <v>10</v>
      </c>
      <c r="F47" s="134">
        <f>+INDEX(Especificaciones!$C$5:$C$25,MATCH('Flexible - Altamira'!O47,Especificaciones!$B$5:$B$25,-1))</f>
        <v>0.32400000000000001</v>
      </c>
      <c r="G47" s="53">
        <v>2870.29</v>
      </c>
      <c r="H47" s="53">
        <v>2.63</v>
      </c>
      <c r="I47" s="53">
        <v>1</v>
      </c>
      <c r="J47" s="32">
        <f t="shared" si="2"/>
        <v>8.1172839506172831</v>
      </c>
      <c r="K47" s="135">
        <f t="shared" si="0"/>
        <v>17.042400000000001</v>
      </c>
      <c r="L47" s="135" t="s">
        <v>17</v>
      </c>
      <c r="N47" s="38"/>
      <c r="O47" s="55">
        <v>254</v>
      </c>
      <c r="P47" s="21">
        <f t="shared" si="1"/>
        <v>3.0539999999999998</v>
      </c>
      <c r="Q47" s="21">
        <f t="shared" si="3"/>
        <v>4.5809999999999995</v>
      </c>
      <c r="R47" s="13"/>
      <c r="S47" s="14"/>
      <c r="T47" s="29"/>
      <c r="U47" s="14"/>
      <c r="V47" s="29"/>
    </row>
    <row r="48" spans="1:22" ht="13.5" customHeight="1">
      <c r="A48" s="169"/>
      <c r="B48" s="55" t="s">
        <v>160</v>
      </c>
      <c r="C48" s="178">
        <v>131732</v>
      </c>
      <c r="D48" s="53">
        <v>41.14</v>
      </c>
      <c r="E48" s="55">
        <v>8</v>
      </c>
      <c r="F48" s="134">
        <f>+INDEX(Especificaciones!$C$5:$C$25,MATCH('Flexible - Altamira'!O48,Especificaciones!$B$5:$B$25,-1))</f>
        <v>0.2732</v>
      </c>
      <c r="G48" s="53">
        <v>2867.75</v>
      </c>
      <c r="H48" s="53">
        <v>2.37</v>
      </c>
      <c r="I48" s="53">
        <v>1</v>
      </c>
      <c r="J48" s="32">
        <f t="shared" si="2"/>
        <v>8.6749633967789173</v>
      </c>
      <c r="K48" s="135">
        <f t="shared" si="0"/>
        <v>12.949680000000001</v>
      </c>
      <c r="L48" s="135" t="s">
        <v>17</v>
      </c>
      <c r="N48" s="38"/>
      <c r="O48" s="55">
        <v>203.2</v>
      </c>
      <c r="P48" s="21">
        <f t="shared" si="1"/>
        <v>2.7432000000000003</v>
      </c>
      <c r="Q48" s="21">
        <f t="shared" si="3"/>
        <v>4.1148000000000007</v>
      </c>
      <c r="R48" s="13"/>
      <c r="S48" s="14"/>
      <c r="T48" s="29"/>
      <c r="U48" s="14"/>
      <c r="V48" s="29"/>
    </row>
    <row r="49" spans="1:22" ht="13.5" customHeight="1">
      <c r="A49" s="169"/>
      <c r="B49" s="55">
        <v>80265</v>
      </c>
      <c r="C49" s="178" t="s">
        <v>161</v>
      </c>
      <c r="D49" s="53">
        <v>11.92</v>
      </c>
      <c r="E49" s="55">
        <v>8</v>
      </c>
      <c r="F49" s="134">
        <f>+INDEX(Especificaciones!$C$5:$C$25,MATCH('Flexible - Altamira'!O49,Especificaciones!$B$5:$B$25,-1))</f>
        <v>0.2732</v>
      </c>
      <c r="G49" s="53">
        <v>2871.16</v>
      </c>
      <c r="H49" s="53">
        <v>2.4500000000000002</v>
      </c>
      <c r="I49" s="53">
        <v>1</v>
      </c>
      <c r="J49" s="32">
        <f t="shared" si="2"/>
        <v>8.9677891654465594</v>
      </c>
      <c r="K49" s="135">
        <f t="shared" si="0"/>
        <v>13.386799999999999</v>
      </c>
      <c r="L49" s="135" t="s">
        <v>17</v>
      </c>
      <c r="N49" s="38"/>
      <c r="O49" s="55">
        <v>203.2</v>
      </c>
      <c r="P49" s="21">
        <f t="shared" si="1"/>
        <v>2.8232000000000004</v>
      </c>
      <c r="Q49" s="21">
        <f t="shared" si="3"/>
        <v>4.2348000000000008</v>
      </c>
      <c r="R49" s="13"/>
      <c r="S49" s="14"/>
      <c r="T49" s="29"/>
      <c r="U49" s="14"/>
      <c r="V49" s="29"/>
    </row>
    <row r="50" spans="1:22" ht="13.5" customHeight="1">
      <c r="A50" s="169"/>
      <c r="B50" s="55" t="s">
        <v>161</v>
      </c>
      <c r="C50" s="178" t="s">
        <v>162</v>
      </c>
      <c r="D50" s="53">
        <v>43.78</v>
      </c>
      <c r="E50" s="55">
        <v>8</v>
      </c>
      <c r="F50" s="134">
        <f>+INDEX(Especificaciones!$C$5:$C$25,MATCH('Flexible - Altamira'!O50,Especificaciones!$B$5:$B$25,-1))</f>
        <v>0.2732</v>
      </c>
      <c r="G50" s="53">
        <v>2870.35</v>
      </c>
      <c r="H50" s="53">
        <v>2.2999999999999998</v>
      </c>
      <c r="I50" s="53">
        <v>1</v>
      </c>
      <c r="J50" s="32">
        <f t="shared" si="2"/>
        <v>8.4187408491947284</v>
      </c>
      <c r="K50" s="135">
        <f t="shared" si="0"/>
        <v>12.567199999999998</v>
      </c>
      <c r="L50" s="135" t="s">
        <v>17</v>
      </c>
      <c r="N50" s="38"/>
      <c r="O50" s="55">
        <v>203.2</v>
      </c>
      <c r="P50" s="21">
        <f t="shared" si="1"/>
        <v>2.6732</v>
      </c>
      <c r="Q50" s="21">
        <f t="shared" si="3"/>
        <v>4.0098000000000003</v>
      </c>
      <c r="R50" s="13"/>
      <c r="S50" s="14"/>
      <c r="T50" s="29"/>
      <c r="U50" s="14"/>
      <c r="V50" s="29"/>
    </row>
    <row r="51" spans="1:22" ht="13.5" customHeight="1">
      <c r="A51" s="169"/>
      <c r="B51" s="55" t="s">
        <v>163</v>
      </c>
      <c r="C51" s="178" t="s">
        <v>161</v>
      </c>
      <c r="D51" s="53">
        <v>6.74</v>
      </c>
      <c r="E51" s="55">
        <v>8</v>
      </c>
      <c r="F51" s="134">
        <f>+INDEX(Especificaciones!$C$5:$C$25,MATCH('Flexible - Altamira'!O51,Especificaciones!$B$5:$B$25,-1))</f>
        <v>0.2732</v>
      </c>
      <c r="G51" s="53">
        <v>2871.32</v>
      </c>
      <c r="H51" s="53">
        <v>1.46</v>
      </c>
      <c r="I51" s="53">
        <v>1</v>
      </c>
      <c r="J51" s="32">
        <f t="shared" si="2"/>
        <v>5.3440702781844802</v>
      </c>
      <c r="K51" s="135">
        <f t="shared" si="0"/>
        <v>7.9774399999999996</v>
      </c>
      <c r="L51" s="135" t="s">
        <v>17</v>
      </c>
      <c r="N51" s="38"/>
      <c r="O51" s="55">
        <v>203.2</v>
      </c>
      <c r="P51" s="21">
        <f t="shared" si="1"/>
        <v>1.8332000000000002</v>
      </c>
      <c r="Q51" s="21">
        <f t="shared" si="3"/>
        <v>2.7498000000000005</v>
      </c>
      <c r="R51" s="13"/>
      <c r="S51" s="14"/>
      <c r="T51" s="29"/>
      <c r="U51" s="14"/>
      <c r="V51" s="29"/>
    </row>
    <row r="52" spans="1:22" ht="13.5" customHeight="1">
      <c r="A52" s="169"/>
      <c r="B52" s="55" t="s">
        <v>164</v>
      </c>
      <c r="C52" s="178" t="s">
        <v>162</v>
      </c>
      <c r="D52" s="53">
        <v>6.78</v>
      </c>
      <c r="E52" s="55">
        <v>8</v>
      </c>
      <c r="F52" s="134">
        <f>+INDEX(Especificaciones!$C$5:$C$25,MATCH('Flexible - Altamira'!O52,Especificaciones!$B$5:$B$25,-1))</f>
        <v>0.2732</v>
      </c>
      <c r="G52" s="53">
        <v>2867.35</v>
      </c>
      <c r="H52" s="53">
        <v>1.75</v>
      </c>
      <c r="I52" s="53">
        <v>1</v>
      </c>
      <c r="J52" s="32">
        <f t="shared" si="2"/>
        <v>6.4055636896046853</v>
      </c>
      <c r="K52" s="135">
        <f t="shared" si="0"/>
        <v>9.5619999999999994</v>
      </c>
      <c r="L52" s="135" t="s">
        <v>17</v>
      </c>
      <c r="N52" s="38"/>
      <c r="O52" s="55">
        <v>203.2</v>
      </c>
      <c r="P52" s="21">
        <f t="shared" si="1"/>
        <v>2.1232000000000002</v>
      </c>
      <c r="Q52" s="21">
        <f t="shared" si="3"/>
        <v>3.1848000000000001</v>
      </c>
      <c r="R52" s="13"/>
      <c r="S52" s="14"/>
      <c r="T52" s="29"/>
      <c r="U52" s="14"/>
      <c r="V52" s="29"/>
    </row>
    <row r="53" spans="1:22" ht="13.5" customHeight="1">
      <c r="A53" s="169"/>
      <c r="B53" s="55" t="s">
        <v>165</v>
      </c>
      <c r="C53" s="178" t="s">
        <v>166</v>
      </c>
      <c r="D53" s="53">
        <v>33.71</v>
      </c>
      <c r="E53" s="55">
        <v>12</v>
      </c>
      <c r="F53" s="134">
        <f>+INDEX(Especificaciones!$C$5:$C$25,MATCH('Flexible - Altamira'!O53,Especificaciones!$B$5:$B$25,-1))</f>
        <v>0.32400000000000001</v>
      </c>
      <c r="G53" s="53">
        <v>2871.8</v>
      </c>
      <c r="H53" s="53">
        <v>1.2</v>
      </c>
      <c r="I53" s="53">
        <v>1</v>
      </c>
      <c r="J53" s="32">
        <f t="shared" si="2"/>
        <v>3.7037037037037033</v>
      </c>
      <c r="K53" s="135">
        <f t="shared" si="0"/>
        <v>7.7759999999999989</v>
      </c>
      <c r="L53" s="135" t="s">
        <v>17</v>
      </c>
      <c r="N53" s="38"/>
      <c r="O53" s="55">
        <v>304.79999999999995</v>
      </c>
      <c r="P53" s="21">
        <f t="shared" si="1"/>
        <v>1.6240000000000001</v>
      </c>
      <c r="Q53" s="21">
        <f t="shared" si="3"/>
        <v>2.4359999999999999</v>
      </c>
      <c r="R53" s="13"/>
      <c r="S53" s="14"/>
      <c r="T53" s="29"/>
      <c r="U53" s="14"/>
      <c r="V53" s="29"/>
    </row>
    <row r="54" spans="1:22" ht="13.5" customHeight="1">
      <c r="A54" s="169"/>
      <c r="B54" s="55" t="s">
        <v>166</v>
      </c>
      <c r="C54" s="178">
        <v>78059</v>
      </c>
      <c r="D54" s="53">
        <v>20.75</v>
      </c>
      <c r="E54" s="55">
        <v>12</v>
      </c>
      <c r="F54" s="134">
        <f>+INDEX(Especificaciones!$C$5:$C$25,MATCH('Flexible - Altamira'!O54,Especificaciones!$B$5:$B$25,-1))</f>
        <v>0.32400000000000001</v>
      </c>
      <c r="G54" s="53">
        <v>2868.38</v>
      </c>
      <c r="H54" s="53">
        <v>1.25</v>
      </c>
      <c r="I54" s="53">
        <v>1</v>
      </c>
      <c r="J54" s="32">
        <f t="shared" si="2"/>
        <v>3.8580246913580245</v>
      </c>
      <c r="K54" s="135">
        <f t="shared" si="0"/>
        <v>8.1</v>
      </c>
      <c r="L54" s="135" t="s">
        <v>17</v>
      </c>
      <c r="N54" s="38"/>
      <c r="O54" s="55">
        <v>304.79999999999995</v>
      </c>
      <c r="P54" s="21">
        <f t="shared" si="1"/>
        <v>1.6740000000000002</v>
      </c>
      <c r="Q54" s="21">
        <f t="shared" si="3"/>
        <v>2.5110000000000001</v>
      </c>
      <c r="R54" s="13"/>
      <c r="S54" s="14"/>
      <c r="T54" s="29"/>
      <c r="U54" s="14"/>
      <c r="V54" s="29"/>
    </row>
    <row r="55" spans="1:22" ht="13.5" customHeight="1">
      <c r="A55" s="169"/>
      <c r="B55" s="55" t="s">
        <v>167</v>
      </c>
      <c r="C55" s="178">
        <v>78315</v>
      </c>
      <c r="D55" s="53">
        <v>24.96</v>
      </c>
      <c r="E55" s="55">
        <v>12</v>
      </c>
      <c r="F55" s="134">
        <f>+INDEX(Especificaciones!$C$5:$C$25,MATCH('Flexible - Altamira'!O55,Especificaciones!$B$5:$B$25,-1))</f>
        <v>0.32400000000000001</v>
      </c>
      <c r="G55" s="53">
        <v>2875.74</v>
      </c>
      <c r="H55" s="53">
        <v>1.2</v>
      </c>
      <c r="I55" s="53">
        <v>1</v>
      </c>
      <c r="J55" s="32">
        <f t="shared" si="2"/>
        <v>3.7037037037037033</v>
      </c>
      <c r="K55" s="135">
        <f t="shared" si="0"/>
        <v>7.7759999999999989</v>
      </c>
      <c r="L55" s="135" t="s">
        <v>17</v>
      </c>
      <c r="N55" s="38"/>
      <c r="O55" s="55">
        <v>304.79999999999995</v>
      </c>
      <c r="P55" s="21">
        <f t="shared" si="1"/>
        <v>1.6240000000000001</v>
      </c>
      <c r="Q55" s="21">
        <f t="shared" si="3"/>
        <v>2.4359999999999999</v>
      </c>
      <c r="R55" s="13"/>
      <c r="S55" s="14"/>
      <c r="T55" s="29"/>
      <c r="U55" s="14"/>
      <c r="V55" s="29"/>
    </row>
    <row r="56" spans="1:22" ht="13.5" customHeight="1">
      <c r="A56" s="169"/>
      <c r="B56" s="55" t="s">
        <v>168</v>
      </c>
      <c r="C56" s="178">
        <v>78059</v>
      </c>
      <c r="D56" s="53">
        <v>8.75</v>
      </c>
      <c r="E56" s="55">
        <v>12</v>
      </c>
      <c r="F56" s="134">
        <f>+INDEX(Especificaciones!$C$5:$C$25,MATCH('Flexible - Altamira'!O56,Especificaciones!$B$5:$B$25,-1))</f>
        <v>0.32400000000000001</v>
      </c>
      <c r="G56" s="53">
        <v>2867.35</v>
      </c>
      <c r="H56" s="53">
        <v>1.75</v>
      </c>
      <c r="I56" s="53">
        <v>1</v>
      </c>
      <c r="J56" s="32">
        <f t="shared" si="2"/>
        <v>5.4012345679012341</v>
      </c>
      <c r="K56" s="135">
        <f t="shared" si="0"/>
        <v>11.34</v>
      </c>
      <c r="L56" s="135" t="s">
        <v>17</v>
      </c>
      <c r="N56" s="38"/>
      <c r="O56" s="55">
        <v>304.79999999999995</v>
      </c>
      <c r="P56" s="21">
        <f t="shared" si="1"/>
        <v>2.1739999999999999</v>
      </c>
      <c r="Q56" s="21">
        <f t="shared" si="3"/>
        <v>3.2610000000000001</v>
      </c>
      <c r="R56" s="13"/>
      <c r="S56" s="14"/>
      <c r="T56" s="29"/>
      <c r="U56" s="14"/>
      <c r="V56" s="29"/>
    </row>
    <row r="57" spans="1:22" ht="13.5" customHeight="1">
      <c r="A57" s="169"/>
      <c r="B57" s="55" t="s">
        <v>169</v>
      </c>
      <c r="C57" s="178">
        <v>78819</v>
      </c>
      <c r="D57" s="53">
        <v>11.14</v>
      </c>
      <c r="E57" s="55">
        <v>12</v>
      </c>
      <c r="F57" s="134">
        <f>+INDEX(Especificaciones!$C$5:$C$25,MATCH('Flexible - Altamira'!O57,Especificaciones!$B$5:$B$25,-1))</f>
        <v>0.32400000000000001</v>
      </c>
      <c r="G57" s="53">
        <v>2875.18</v>
      </c>
      <c r="H57" s="53">
        <v>1.24</v>
      </c>
      <c r="I57" s="53">
        <v>1</v>
      </c>
      <c r="J57" s="32">
        <f t="shared" si="2"/>
        <v>3.8271604938271602</v>
      </c>
      <c r="K57" s="135">
        <f t="shared" si="0"/>
        <v>8.0351999999999997</v>
      </c>
      <c r="L57" s="135" t="s">
        <v>17</v>
      </c>
      <c r="N57" s="38"/>
      <c r="O57" s="55">
        <v>304.79999999999995</v>
      </c>
      <c r="P57" s="21">
        <f t="shared" si="1"/>
        <v>1.6640000000000001</v>
      </c>
      <c r="Q57" s="21">
        <f t="shared" si="3"/>
        <v>2.4960000000000004</v>
      </c>
      <c r="R57" s="13"/>
      <c r="S57" s="14"/>
      <c r="T57" s="29"/>
      <c r="U57" s="14"/>
      <c r="V57" s="29"/>
    </row>
    <row r="58" spans="1:22" ht="13.5" customHeight="1">
      <c r="A58" s="169"/>
      <c r="B58" s="55" t="s">
        <v>170</v>
      </c>
      <c r="C58" s="178">
        <v>78812</v>
      </c>
      <c r="D58" s="53">
        <v>8.59</v>
      </c>
      <c r="E58" s="55">
        <v>12</v>
      </c>
      <c r="F58" s="134">
        <f>+INDEX(Especificaciones!$C$5:$C$25,MATCH('Flexible - Altamira'!O58,Especificaciones!$B$5:$B$25,-1))</f>
        <v>0.32400000000000001</v>
      </c>
      <c r="G58" s="53">
        <v>2847.2</v>
      </c>
      <c r="H58" s="53">
        <v>1.3</v>
      </c>
      <c r="I58" s="53">
        <v>1</v>
      </c>
      <c r="J58" s="32">
        <f t="shared" si="2"/>
        <v>4.0123456790123457</v>
      </c>
      <c r="K58" s="135">
        <f t="shared" si="0"/>
        <v>8.4239999999999995</v>
      </c>
      <c r="L58" s="135" t="s">
        <v>17</v>
      </c>
      <c r="N58" s="38"/>
      <c r="O58" s="55">
        <v>304.79999999999995</v>
      </c>
      <c r="P58" s="21">
        <f t="shared" si="1"/>
        <v>1.7240000000000002</v>
      </c>
      <c r="Q58" s="21">
        <f t="shared" si="3"/>
        <v>2.5860000000000003</v>
      </c>
      <c r="R58" s="13"/>
      <c r="S58" s="14"/>
      <c r="T58" s="29"/>
      <c r="U58" s="14"/>
      <c r="V58" s="29"/>
    </row>
    <row r="59" spans="1:22" ht="13.5" customHeight="1">
      <c r="A59" s="169"/>
      <c r="B59" s="315" t="s">
        <v>245</v>
      </c>
      <c r="C59" s="315"/>
      <c r="D59" s="315"/>
      <c r="E59" s="315"/>
      <c r="F59" s="315"/>
      <c r="G59" s="315"/>
      <c r="H59" s="315"/>
      <c r="I59" s="315"/>
      <c r="J59" s="315"/>
      <c r="K59" s="315"/>
      <c r="L59" s="315"/>
      <c r="N59" s="38"/>
      <c r="O59" s="55"/>
      <c r="P59" s="21"/>
      <c r="Q59" s="21"/>
      <c r="R59" s="13"/>
      <c r="S59" s="14"/>
      <c r="T59" s="29"/>
      <c r="U59" s="14"/>
      <c r="V59" s="29"/>
    </row>
    <row r="60" spans="1:22" ht="13.5" customHeight="1">
      <c r="A60" s="169"/>
      <c r="B60" s="55" t="s">
        <v>246</v>
      </c>
      <c r="C60" s="178">
        <v>79804</v>
      </c>
      <c r="D60" s="53">
        <v>8.5</v>
      </c>
      <c r="E60" s="55">
        <v>10</v>
      </c>
      <c r="F60" s="134">
        <f>+INDEX(Especificaciones!$C$5:$C$25,MATCH('Flexible - Altamira'!O60,Especificaciones!$B$5:$B$25,-1))</f>
        <v>0.2732</v>
      </c>
      <c r="G60" s="53">
        <v>2879.31</v>
      </c>
      <c r="H60" s="53">
        <v>1.1000000000000001</v>
      </c>
      <c r="I60" s="53">
        <v>1</v>
      </c>
      <c r="J60" s="32">
        <f t="shared" ref="J60:J79" si="4">IF(I60&gt;=2*F60,H60/F60,(1-EXP(-2*$D$38*$D$39*H60/I60))/(2*$D$38*$D$39))</f>
        <v>4.0263543191800881</v>
      </c>
      <c r="K60" s="135">
        <f t="shared" ref="K60:K79" si="5">IF(I60&gt;=2*F60,J60*$G$38*F60^2,J60*$G$38*I60*F60)</f>
        <v>6.0103999999999997</v>
      </c>
      <c r="L60" s="135" t="s">
        <v>17</v>
      </c>
      <c r="N60" s="38"/>
      <c r="O60" s="55">
        <v>250</v>
      </c>
      <c r="P60" s="21">
        <f t="shared" ref="P60:P79" si="6">+F60+H60+0.1</f>
        <v>1.4732000000000003</v>
      </c>
      <c r="Q60" s="21">
        <f t="shared" ref="Q60:Q79" si="7">P60*1.5</f>
        <v>2.2098000000000004</v>
      </c>
      <c r="R60" s="13"/>
      <c r="S60" s="14"/>
      <c r="T60" s="29"/>
      <c r="U60" s="14"/>
      <c r="V60" s="29"/>
    </row>
    <row r="61" spans="1:22" ht="13.5" customHeight="1">
      <c r="A61" s="169"/>
      <c r="B61" s="55" t="s">
        <v>247</v>
      </c>
      <c r="C61" s="178">
        <v>79804</v>
      </c>
      <c r="D61" s="53">
        <v>7.2</v>
      </c>
      <c r="E61" s="55">
        <v>10</v>
      </c>
      <c r="F61" s="134">
        <f>+INDEX(Especificaciones!$C$5:$C$25,MATCH('Flexible - Altamira'!O61,Especificaciones!$B$5:$B$25,-1))</f>
        <v>0.2732</v>
      </c>
      <c r="G61" s="53">
        <v>2879.31</v>
      </c>
      <c r="H61" s="53">
        <v>1.1000000000000001</v>
      </c>
      <c r="I61" s="53">
        <v>1</v>
      </c>
      <c r="J61" s="32">
        <f t="shared" si="4"/>
        <v>4.0263543191800881</v>
      </c>
      <c r="K61" s="135">
        <f t="shared" si="5"/>
        <v>6.0103999999999997</v>
      </c>
      <c r="L61" s="135" t="s">
        <v>17</v>
      </c>
      <c r="N61" s="38"/>
      <c r="O61" s="55">
        <v>250</v>
      </c>
      <c r="P61" s="21">
        <f t="shared" si="6"/>
        <v>1.4732000000000003</v>
      </c>
      <c r="Q61" s="21">
        <f t="shared" si="7"/>
        <v>2.2098000000000004</v>
      </c>
      <c r="R61" s="13"/>
      <c r="S61" s="14"/>
      <c r="T61" s="29"/>
      <c r="U61" s="14"/>
      <c r="V61" s="29"/>
    </row>
    <row r="62" spans="1:22" ht="13.5" customHeight="1">
      <c r="A62" s="169"/>
      <c r="B62" s="55" t="s">
        <v>248</v>
      </c>
      <c r="C62" s="178" t="s">
        <v>167</v>
      </c>
      <c r="D62" s="53">
        <v>3.2</v>
      </c>
      <c r="E62" s="55">
        <v>10</v>
      </c>
      <c r="F62" s="134">
        <f>+INDEX(Especificaciones!$C$5:$C$25,MATCH('Flexible - Altamira'!O62,Especificaciones!$B$5:$B$25,-1))</f>
        <v>0.2732</v>
      </c>
      <c r="G62" s="53">
        <v>2875.94</v>
      </c>
      <c r="H62" s="53">
        <v>1.22</v>
      </c>
      <c r="I62" s="53">
        <v>1</v>
      </c>
      <c r="J62" s="32">
        <f t="shared" si="4"/>
        <v>4.4655929721815522</v>
      </c>
      <c r="K62" s="135">
        <f t="shared" si="5"/>
        <v>6.66608</v>
      </c>
      <c r="L62" s="135" t="s">
        <v>17</v>
      </c>
      <c r="N62" s="38"/>
      <c r="O62" s="55">
        <v>250</v>
      </c>
      <c r="P62" s="21">
        <f t="shared" si="6"/>
        <v>1.5931999999999999</v>
      </c>
      <c r="Q62" s="21">
        <f t="shared" si="7"/>
        <v>2.3898000000000001</v>
      </c>
      <c r="R62" s="13"/>
      <c r="S62" s="14"/>
      <c r="T62" s="29"/>
      <c r="U62" s="14"/>
      <c r="V62" s="29"/>
    </row>
    <row r="63" spans="1:22" ht="13.5" customHeight="1">
      <c r="A63" s="169"/>
      <c r="B63" s="55" t="s">
        <v>249</v>
      </c>
      <c r="C63" s="178" t="s">
        <v>167</v>
      </c>
      <c r="D63" s="53">
        <v>1.6</v>
      </c>
      <c r="E63" s="55">
        <v>10</v>
      </c>
      <c r="F63" s="134">
        <f>+INDEX(Especificaciones!$C$5:$C$25,MATCH('Flexible - Altamira'!O63,Especificaciones!$B$5:$B$25,-1))</f>
        <v>0.2732</v>
      </c>
      <c r="G63" s="53">
        <v>2875.94</v>
      </c>
      <c r="H63" s="53">
        <v>1.19</v>
      </c>
      <c r="I63" s="53">
        <v>1</v>
      </c>
      <c r="J63" s="32">
        <f t="shared" si="4"/>
        <v>4.3557833089311861</v>
      </c>
      <c r="K63" s="135">
        <f t="shared" si="5"/>
        <v>6.5021599999999999</v>
      </c>
      <c r="L63" s="135" t="s">
        <v>17</v>
      </c>
      <c r="N63" s="38"/>
      <c r="O63" s="55">
        <v>250</v>
      </c>
      <c r="P63" s="21">
        <f t="shared" si="6"/>
        <v>1.5632000000000001</v>
      </c>
      <c r="Q63" s="21">
        <f t="shared" si="7"/>
        <v>2.3448000000000002</v>
      </c>
      <c r="R63" s="13"/>
      <c r="S63" s="14"/>
      <c r="T63" s="29"/>
      <c r="U63" s="14"/>
      <c r="V63" s="29"/>
    </row>
    <row r="64" spans="1:22" ht="13.5" customHeight="1">
      <c r="A64" s="169"/>
      <c r="B64" s="55" t="s">
        <v>250</v>
      </c>
      <c r="C64" s="178">
        <v>78315</v>
      </c>
      <c r="D64" s="53">
        <v>12</v>
      </c>
      <c r="E64" s="55">
        <v>10</v>
      </c>
      <c r="F64" s="134">
        <f>+INDEX(Especificaciones!$C$5:$C$25,MATCH('Flexible - Altamira'!O64,Especificaciones!$B$5:$B$25,-1))</f>
        <v>0.2732</v>
      </c>
      <c r="G64" s="53">
        <v>2873.97</v>
      </c>
      <c r="H64" s="53">
        <v>1.4</v>
      </c>
      <c r="I64" s="53">
        <v>1</v>
      </c>
      <c r="J64" s="32">
        <f t="shared" si="4"/>
        <v>5.1244509516837482</v>
      </c>
      <c r="K64" s="135">
        <f t="shared" si="5"/>
        <v>7.6495999999999995</v>
      </c>
      <c r="L64" s="135" t="s">
        <v>17</v>
      </c>
      <c r="N64" s="38"/>
      <c r="O64" s="55">
        <v>250</v>
      </c>
      <c r="P64" s="21">
        <f t="shared" si="6"/>
        <v>1.7732000000000001</v>
      </c>
      <c r="Q64" s="21">
        <f t="shared" si="7"/>
        <v>2.6598000000000002</v>
      </c>
      <c r="R64" s="13"/>
      <c r="S64" s="14"/>
      <c r="T64" s="29"/>
      <c r="U64" s="14"/>
      <c r="V64" s="29"/>
    </row>
    <row r="65" spans="1:22" ht="13.5" customHeight="1">
      <c r="A65" s="169"/>
      <c r="B65" s="55" t="s">
        <v>268</v>
      </c>
      <c r="C65" s="178">
        <v>78315</v>
      </c>
      <c r="D65" s="53">
        <v>7.1</v>
      </c>
      <c r="E65" s="55">
        <v>10</v>
      </c>
      <c r="F65" s="134">
        <f>+INDEX(Especificaciones!$C$5:$C$25,MATCH('Flexible - Altamira'!O65,Especificaciones!$B$5:$B$25,-1))</f>
        <v>0.2732</v>
      </c>
      <c r="G65" s="53">
        <v>2873.35</v>
      </c>
      <c r="H65" s="53">
        <v>1.4</v>
      </c>
      <c r="I65" s="53">
        <v>1</v>
      </c>
      <c r="J65" s="32">
        <f t="shared" si="4"/>
        <v>5.1244509516837482</v>
      </c>
      <c r="K65" s="135">
        <f t="shared" si="5"/>
        <v>7.6495999999999995</v>
      </c>
      <c r="L65" s="135" t="s">
        <v>17</v>
      </c>
      <c r="N65" s="38"/>
      <c r="O65" s="55">
        <v>250</v>
      </c>
      <c r="P65" s="21">
        <f t="shared" si="6"/>
        <v>1.7732000000000001</v>
      </c>
      <c r="Q65" s="21">
        <f t="shared" si="7"/>
        <v>2.6598000000000002</v>
      </c>
      <c r="R65" s="13"/>
      <c r="S65" s="14"/>
      <c r="T65" s="29"/>
      <c r="U65" s="14"/>
      <c r="V65" s="29"/>
    </row>
    <row r="66" spans="1:22" ht="13.5" customHeight="1">
      <c r="A66" s="169"/>
      <c r="B66" s="55" t="s">
        <v>269</v>
      </c>
      <c r="C66" s="178" t="s">
        <v>165</v>
      </c>
      <c r="D66" s="53">
        <v>2</v>
      </c>
      <c r="E66" s="55">
        <v>10</v>
      </c>
      <c r="F66" s="134">
        <f>+INDEX(Especificaciones!$C$5:$C$25,MATCH('Flexible - Altamira'!O66,Especificaciones!$B$5:$B$25,-1))</f>
        <v>0.2732</v>
      </c>
      <c r="G66" s="53">
        <v>2871.92</v>
      </c>
      <c r="H66" s="53">
        <v>1.1000000000000001</v>
      </c>
      <c r="I66" s="53">
        <v>1</v>
      </c>
      <c r="J66" s="32">
        <f t="shared" si="4"/>
        <v>4.0263543191800881</v>
      </c>
      <c r="K66" s="135">
        <f t="shared" si="5"/>
        <v>6.0103999999999997</v>
      </c>
      <c r="L66" s="135" t="s">
        <v>17</v>
      </c>
      <c r="N66" s="38"/>
      <c r="O66" s="55">
        <v>250</v>
      </c>
      <c r="P66" s="21">
        <f t="shared" si="6"/>
        <v>1.4732000000000003</v>
      </c>
      <c r="Q66" s="21">
        <f t="shared" si="7"/>
        <v>2.2098000000000004</v>
      </c>
      <c r="R66" s="13"/>
      <c r="S66" s="14"/>
      <c r="T66" s="29"/>
      <c r="U66" s="14"/>
      <c r="V66" s="29"/>
    </row>
    <row r="67" spans="1:22" ht="13.5" customHeight="1">
      <c r="A67" s="169"/>
      <c r="B67" s="55" t="s">
        <v>270</v>
      </c>
      <c r="C67" s="178" t="s">
        <v>165</v>
      </c>
      <c r="D67" s="53">
        <v>3.1</v>
      </c>
      <c r="E67" s="55">
        <v>10</v>
      </c>
      <c r="F67" s="134">
        <f>+INDEX(Especificaciones!$C$5:$C$25,MATCH('Flexible - Altamira'!O67,Especificaciones!$B$5:$B$25,-1))</f>
        <v>0.2732</v>
      </c>
      <c r="G67" s="53">
        <v>2871.92</v>
      </c>
      <c r="H67" s="53">
        <v>1.1000000000000001</v>
      </c>
      <c r="I67" s="53">
        <v>1</v>
      </c>
      <c r="J67" s="32">
        <f t="shared" si="4"/>
        <v>4.0263543191800881</v>
      </c>
      <c r="K67" s="135">
        <f t="shared" si="5"/>
        <v>6.0103999999999997</v>
      </c>
      <c r="L67" s="135" t="s">
        <v>17</v>
      </c>
      <c r="N67" s="38"/>
      <c r="O67" s="55">
        <v>250</v>
      </c>
      <c r="P67" s="21">
        <f t="shared" si="6"/>
        <v>1.4732000000000003</v>
      </c>
      <c r="Q67" s="21">
        <f t="shared" si="7"/>
        <v>2.2098000000000004</v>
      </c>
      <c r="R67" s="13"/>
      <c r="S67" s="14"/>
      <c r="T67" s="29"/>
      <c r="U67" s="14"/>
      <c r="V67" s="29"/>
    </row>
    <row r="68" spans="1:22" ht="13.5" customHeight="1">
      <c r="A68" s="169"/>
      <c r="B68" s="55" t="s">
        <v>271</v>
      </c>
      <c r="C68" s="178" t="s">
        <v>166</v>
      </c>
      <c r="D68" s="53">
        <v>2.1</v>
      </c>
      <c r="E68" s="55">
        <v>10</v>
      </c>
      <c r="F68" s="134">
        <f>+INDEX(Especificaciones!$C$5:$C$25,MATCH('Flexible - Altamira'!O68,Especificaciones!$B$5:$B$25,-1))</f>
        <v>0.2732</v>
      </c>
      <c r="G68" s="53">
        <v>2868.58</v>
      </c>
      <c r="H68" s="53">
        <v>1.2</v>
      </c>
      <c r="I68" s="53">
        <v>1</v>
      </c>
      <c r="J68" s="32">
        <f t="shared" si="4"/>
        <v>4.3923865300146412</v>
      </c>
      <c r="K68" s="135">
        <f t="shared" si="5"/>
        <v>6.5567999999999991</v>
      </c>
      <c r="L68" s="135" t="s">
        <v>17</v>
      </c>
      <c r="N68" s="38"/>
      <c r="O68" s="55">
        <v>250</v>
      </c>
      <c r="P68" s="21">
        <f t="shared" si="6"/>
        <v>1.5731999999999999</v>
      </c>
      <c r="Q68" s="21">
        <f t="shared" si="7"/>
        <v>2.3597999999999999</v>
      </c>
      <c r="R68" s="13"/>
      <c r="S68" s="14"/>
      <c r="T68" s="29"/>
      <c r="U68" s="14"/>
      <c r="V68" s="29"/>
    </row>
    <row r="69" spans="1:22" ht="13.5" customHeight="1">
      <c r="A69" s="169"/>
      <c r="B69" s="55" t="s">
        <v>272</v>
      </c>
      <c r="C69" s="178" t="s">
        <v>166</v>
      </c>
      <c r="D69" s="53">
        <v>3.1</v>
      </c>
      <c r="E69" s="55">
        <v>10</v>
      </c>
      <c r="F69" s="134">
        <f>+INDEX(Especificaciones!$C$5:$C$25,MATCH('Flexible - Altamira'!O69,Especificaciones!$B$5:$B$25,-1))</f>
        <v>0.2732</v>
      </c>
      <c r="G69" s="53">
        <v>2868.68</v>
      </c>
      <c r="H69" s="53">
        <v>1.1000000000000001</v>
      </c>
      <c r="I69" s="53">
        <v>1</v>
      </c>
      <c r="J69" s="32">
        <f t="shared" si="4"/>
        <v>4.0263543191800881</v>
      </c>
      <c r="K69" s="135">
        <f t="shared" si="5"/>
        <v>6.0103999999999997</v>
      </c>
      <c r="L69" s="135" t="s">
        <v>17</v>
      </c>
      <c r="N69" s="38"/>
      <c r="O69" s="55">
        <v>250</v>
      </c>
      <c r="P69" s="21">
        <f t="shared" si="6"/>
        <v>1.4732000000000003</v>
      </c>
      <c r="Q69" s="21">
        <f t="shared" si="7"/>
        <v>2.2098000000000004</v>
      </c>
      <c r="R69" s="13"/>
      <c r="S69" s="14"/>
      <c r="T69" s="29"/>
      <c r="U69" s="14"/>
      <c r="V69" s="29"/>
    </row>
    <row r="70" spans="1:22" ht="13.5" customHeight="1">
      <c r="A70" s="169"/>
      <c r="B70" s="55" t="s">
        <v>273</v>
      </c>
      <c r="C70" s="178">
        <v>78059</v>
      </c>
      <c r="D70" s="53">
        <v>8.1</v>
      </c>
      <c r="E70" s="55">
        <v>10</v>
      </c>
      <c r="F70" s="134">
        <f>+INDEX(Especificaciones!$C$5:$C$25,MATCH('Flexible - Altamira'!O70,Especificaciones!$B$5:$B$25,-1))</f>
        <v>0.2732</v>
      </c>
      <c r="G70" s="53">
        <v>2867.75</v>
      </c>
      <c r="H70" s="53">
        <v>1.03</v>
      </c>
      <c r="I70" s="53">
        <v>1</v>
      </c>
      <c r="J70" s="32">
        <f t="shared" si="4"/>
        <v>3.7701317715959006</v>
      </c>
      <c r="K70" s="135">
        <f t="shared" si="5"/>
        <v>5.6279199999999996</v>
      </c>
      <c r="L70" s="135" t="s">
        <v>17</v>
      </c>
      <c r="N70" s="38"/>
      <c r="O70" s="55">
        <v>250</v>
      </c>
      <c r="P70" s="21">
        <f t="shared" si="6"/>
        <v>1.4032</v>
      </c>
      <c r="Q70" s="21">
        <f t="shared" si="7"/>
        <v>2.1048</v>
      </c>
      <c r="R70" s="13"/>
      <c r="S70" s="14"/>
      <c r="T70" s="29"/>
      <c r="U70" s="14"/>
      <c r="V70" s="29"/>
    </row>
    <row r="71" spans="1:22" ht="13.5" customHeight="1">
      <c r="A71" s="169"/>
      <c r="B71" s="55" t="s">
        <v>274</v>
      </c>
      <c r="C71" s="178">
        <v>78059</v>
      </c>
      <c r="D71" s="53">
        <v>6.2</v>
      </c>
      <c r="E71" s="55">
        <v>10</v>
      </c>
      <c r="F71" s="134">
        <f>+INDEX(Especificaciones!$C$5:$C$25,MATCH('Flexible - Altamira'!O71,Especificaciones!$B$5:$B$25,-1))</f>
        <v>0.2732</v>
      </c>
      <c r="G71" s="53">
        <v>2867.69</v>
      </c>
      <c r="H71" s="53">
        <v>1.05</v>
      </c>
      <c r="I71" s="53">
        <v>1</v>
      </c>
      <c r="J71" s="32">
        <f t="shared" si="4"/>
        <v>3.8433382137628112</v>
      </c>
      <c r="K71" s="135">
        <f t="shared" si="5"/>
        <v>5.7372000000000005</v>
      </c>
      <c r="L71" s="135" t="s">
        <v>17</v>
      </c>
      <c r="N71" s="38"/>
      <c r="O71" s="55">
        <v>250</v>
      </c>
      <c r="P71" s="21">
        <f t="shared" si="6"/>
        <v>1.4232</v>
      </c>
      <c r="Q71" s="21">
        <f t="shared" si="7"/>
        <v>2.1348000000000003</v>
      </c>
      <c r="R71" s="13"/>
      <c r="S71" s="14"/>
      <c r="T71" s="29"/>
      <c r="U71" s="14"/>
      <c r="V71" s="29"/>
    </row>
    <row r="72" spans="1:22" ht="13.5" customHeight="1">
      <c r="A72" s="169"/>
      <c r="B72" s="55" t="s">
        <v>275</v>
      </c>
      <c r="C72" s="178">
        <v>79319</v>
      </c>
      <c r="D72" s="53">
        <v>3.3</v>
      </c>
      <c r="E72" s="55">
        <v>10</v>
      </c>
      <c r="F72" s="134">
        <f>+INDEX(Especificaciones!$C$5:$C$25,MATCH('Flexible - Altamira'!O72,Especificaciones!$B$5:$B$25,-1))</f>
        <v>0.2732</v>
      </c>
      <c r="G72" s="53">
        <v>2876.41</v>
      </c>
      <c r="H72" s="53">
        <v>1.2</v>
      </c>
      <c r="I72" s="53">
        <v>1</v>
      </c>
      <c r="J72" s="32">
        <f t="shared" si="4"/>
        <v>4.3923865300146412</v>
      </c>
      <c r="K72" s="135">
        <f t="shared" si="5"/>
        <v>6.5567999999999991</v>
      </c>
      <c r="L72" s="135" t="s">
        <v>17</v>
      </c>
      <c r="N72" s="38"/>
      <c r="O72" s="55">
        <v>250</v>
      </c>
      <c r="P72" s="21">
        <f t="shared" si="6"/>
        <v>1.5731999999999999</v>
      </c>
      <c r="Q72" s="21">
        <f t="shared" si="7"/>
        <v>2.3597999999999999</v>
      </c>
      <c r="R72" s="13"/>
      <c r="S72" s="14"/>
      <c r="T72" s="29"/>
      <c r="U72" s="14"/>
      <c r="V72" s="29"/>
    </row>
    <row r="73" spans="1:22" ht="13.5" customHeight="1">
      <c r="A73" s="169"/>
      <c r="B73" s="55" t="s">
        <v>276</v>
      </c>
      <c r="C73" s="178">
        <v>79319</v>
      </c>
      <c r="D73" s="53">
        <v>4</v>
      </c>
      <c r="E73" s="55">
        <v>10</v>
      </c>
      <c r="F73" s="134">
        <f>+INDEX(Especificaciones!$C$5:$C$25,MATCH('Flexible - Altamira'!O73,Especificaciones!$B$5:$B$25,-1))</f>
        <v>0.2732</v>
      </c>
      <c r="G73" s="53">
        <v>2876.41</v>
      </c>
      <c r="H73" s="53">
        <v>1.2</v>
      </c>
      <c r="I73" s="53">
        <v>1</v>
      </c>
      <c r="J73" s="32">
        <f t="shared" si="4"/>
        <v>4.3923865300146412</v>
      </c>
      <c r="K73" s="135">
        <f t="shared" si="5"/>
        <v>6.5567999999999991</v>
      </c>
      <c r="L73" s="135" t="s">
        <v>17</v>
      </c>
      <c r="N73" s="38"/>
      <c r="O73" s="55">
        <v>250</v>
      </c>
      <c r="P73" s="21">
        <f t="shared" si="6"/>
        <v>1.5731999999999999</v>
      </c>
      <c r="Q73" s="21">
        <f t="shared" si="7"/>
        <v>2.3597999999999999</v>
      </c>
      <c r="R73" s="13"/>
      <c r="S73" s="14"/>
      <c r="T73" s="29"/>
      <c r="U73" s="14"/>
      <c r="V73" s="29"/>
    </row>
    <row r="74" spans="1:22" ht="13.5" customHeight="1">
      <c r="A74" s="169"/>
      <c r="B74" s="55" t="s">
        <v>277</v>
      </c>
      <c r="C74" s="178">
        <v>78819</v>
      </c>
      <c r="D74" s="53">
        <v>1.9</v>
      </c>
      <c r="E74" s="55">
        <v>10</v>
      </c>
      <c r="F74" s="134">
        <f>+INDEX(Especificaciones!$C$5:$C$25,MATCH('Flexible - Altamira'!O74,Especificaciones!$B$5:$B$25,-1))</f>
        <v>0.2732</v>
      </c>
      <c r="G74" s="53">
        <v>2875.15</v>
      </c>
      <c r="H74" s="53">
        <v>1.0900000000000001</v>
      </c>
      <c r="I74" s="53">
        <v>1</v>
      </c>
      <c r="J74" s="32">
        <f t="shared" si="4"/>
        <v>3.9897510980966326</v>
      </c>
      <c r="K74" s="135">
        <f t="shared" si="5"/>
        <v>5.9557599999999997</v>
      </c>
      <c r="L74" s="135" t="s">
        <v>17</v>
      </c>
      <c r="N74" s="38"/>
      <c r="O74" s="55">
        <v>250</v>
      </c>
      <c r="P74" s="21">
        <f t="shared" si="6"/>
        <v>1.4632000000000001</v>
      </c>
      <c r="Q74" s="21">
        <f t="shared" si="7"/>
        <v>2.1947999999999999</v>
      </c>
      <c r="R74" s="13"/>
      <c r="S74" s="14"/>
      <c r="T74" s="29"/>
      <c r="U74" s="14"/>
      <c r="V74" s="29"/>
    </row>
    <row r="75" spans="1:22" ht="13.5" customHeight="1">
      <c r="A75" s="169"/>
      <c r="B75" s="55" t="s">
        <v>278</v>
      </c>
      <c r="C75" s="178">
        <v>78819</v>
      </c>
      <c r="D75" s="53">
        <v>5.3</v>
      </c>
      <c r="E75" s="55">
        <v>10</v>
      </c>
      <c r="F75" s="134">
        <f>+INDEX(Especificaciones!$C$5:$C$25,MATCH('Flexible - Altamira'!O75,Especificaciones!$B$5:$B$25,-1))</f>
        <v>0.2732</v>
      </c>
      <c r="G75" s="53">
        <v>2875.12</v>
      </c>
      <c r="H75" s="53">
        <v>1.24</v>
      </c>
      <c r="I75" s="53">
        <v>1</v>
      </c>
      <c r="J75" s="32">
        <f t="shared" si="4"/>
        <v>4.5387994143484622</v>
      </c>
      <c r="K75" s="135">
        <f t="shared" si="5"/>
        <v>6.7753599999999983</v>
      </c>
      <c r="L75" s="135" t="s">
        <v>17</v>
      </c>
      <c r="N75" s="38"/>
      <c r="O75" s="55">
        <v>250</v>
      </c>
      <c r="P75" s="21">
        <f t="shared" si="6"/>
        <v>1.6132</v>
      </c>
      <c r="Q75" s="21">
        <f t="shared" si="7"/>
        <v>2.4198</v>
      </c>
      <c r="R75" s="13"/>
      <c r="S75" s="14"/>
      <c r="T75" s="29"/>
      <c r="U75" s="14"/>
      <c r="V75" s="29"/>
    </row>
    <row r="76" spans="1:22" ht="13.5" customHeight="1">
      <c r="A76" s="169"/>
      <c r="B76" s="55" t="s">
        <v>279</v>
      </c>
      <c r="C76" s="178">
        <v>78819</v>
      </c>
      <c r="D76" s="53">
        <v>2.6</v>
      </c>
      <c r="E76" s="55">
        <v>10</v>
      </c>
      <c r="F76" s="134">
        <f>+INDEX(Especificaciones!$C$5:$C$25,MATCH('Flexible - Altamira'!O76,Especificaciones!$B$5:$B$25,-1))</f>
        <v>0.2732</v>
      </c>
      <c r="G76" s="53">
        <v>2875.34</v>
      </c>
      <c r="H76" s="53">
        <v>1.1100000000000001</v>
      </c>
      <c r="I76" s="53">
        <v>1</v>
      </c>
      <c r="J76" s="32">
        <f t="shared" si="4"/>
        <v>4.0629575402635432</v>
      </c>
      <c r="K76" s="135">
        <f t="shared" si="5"/>
        <v>6.0650399999999998</v>
      </c>
      <c r="L76" s="135" t="s">
        <v>17</v>
      </c>
      <c r="N76" s="38"/>
      <c r="O76" s="55">
        <v>250</v>
      </c>
      <c r="P76" s="21">
        <f t="shared" si="6"/>
        <v>1.4832000000000001</v>
      </c>
      <c r="Q76" s="21">
        <f t="shared" si="7"/>
        <v>2.2248000000000001</v>
      </c>
      <c r="R76" s="13"/>
      <c r="S76" s="14"/>
      <c r="T76" s="29"/>
      <c r="U76" s="14"/>
      <c r="V76" s="29"/>
    </row>
    <row r="77" spans="1:22" ht="13.5" customHeight="1">
      <c r="A77" s="169"/>
      <c r="B77" s="55" t="s">
        <v>280</v>
      </c>
      <c r="C77" s="178">
        <v>78819</v>
      </c>
      <c r="D77" s="53">
        <v>3</v>
      </c>
      <c r="E77" s="55">
        <v>10</v>
      </c>
      <c r="F77" s="134">
        <f>+INDEX(Especificaciones!$C$5:$C$25,MATCH('Flexible - Altamira'!O77,Especificaciones!$B$5:$B$25,-1))</f>
        <v>0.2732</v>
      </c>
      <c r="G77" s="53">
        <v>2875.34</v>
      </c>
      <c r="H77" s="53">
        <v>1.1100000000000001</v>
      </c>
      <c r="I77" s="53">
        <v>1</v>
      </c>
      <c r="J77" s="32">
        <f t="shared" si="4"/>
        <v>4.0629575402635432</v>
      </c>
      <c r="K77" s="135">
        <f t="shared" si="5"/>
        <v>6.0650399999999998</v>
      </c>
      <c r="L77" s="135" t="s">
        <v>17</v>
      </c>
      <c r="N77" s="38"/>
      <c r="O77" s="55">
        <v>250</v>
      </c>
      <c r="P77" s="21">
        <f t="shared" si="6"/>
        <v>1.4832000000000001</v>
      </c>
      <c r="Q77" s="21">
        <f t="shared" si="7"/>
        <v>2.2248000000000001</v>
      </c>
      <c r="R77" s="13"/>
      <c r="S77" s="14"/>
      <c r="T77" s="29"/>
      <c r="U77" s="14"/>
      <c r="V77" s="29"/>
    </row>
    <row r="78" spans="1:22" ht="13.5" customHeight="1">
      <c r="A78" s="169"/>
      <c r="B78" s="55" t="s">
        <v>281</v>
      </c>
      <c r="C78" s="178">
        <v>78059</v>
      </c>
      <c r="D78" s="53">
        <v>1.4</v>
      </c>
      <c r="E78" s="55">
        <v>10</v>
      </c>
      <c r="F78" s="134">
        <f>+INDEX(Especificaciones!$C$5:$C$25,MATCH('Flexible - Altamira'!O78,Especificaciones!$B$5:$B$25,-1))</f>
        <v>0.2732</v>
      </c>
      <c r="G78" s="53">
        <v>2867.74</v>
      </c>
      <c r="H78" s="53">
        <v>1.5</v>
      </c>
      <c r="I78" s="53">
        <v>1</v>
      </c>
      <c r="J78" s="32">
        <f t="shared" si="4"/>
        <v>5.4904831625183013</v>
      </c>
      <c r="K78" s="135">
        <f t="shared" si="5"/>
        <v>8.1959999999999997</v>
      </c>
      <c r="L78" s="135" t="s">
        <v>17</v>
      </c>
      <c r="N78" s="38"/>
      <c r="O78" s="55">
        <v>250</v>
      </c>
      <c r="P78" s="21">
        <f t="shared" si="6"/>
        <v>1.8732000000000002</v>
      </c>
      <c r="Q78" s="21">
        <f t="shared" si="7"/>
        <v>2.8098000000000001</v>
      </c>
      <c r="R78" s="13"/>
      <c r="S78" s="14"/>
      <c r="T78" s="29"/>
      <c r="U78" s="14"/>
      <c r="V78" s="29"/>
    </row>
    <row r="79" spans="1:22" ht="13.5" customHeight="1">
      <c r="A79" s="169"/>
      <c r="B79" s="55" t="s">
        <v>282</v>
      </c>
      <c r="C79" s="178">
        <v>78059</v>
      </c>
      <c r="D79" s="53">
        <v>7.1</v>
      </c>
      <c r="E79" s="55">
        <v>10</v>
      </c>
      <c r="F79" s="134">
        <f>+INDEX(Especificaciones!$C$5:$C$25,MATCH('Flexible - Altamira'!O79,Especificaciones!$B$5:$B$25,-1))</f>
        <v>0.2732</v>
      </c>
      <c r="G79" s="53">
        <v>2868.93</v>
      </c>
      <c r="H79" s="53">
        <v>1.5</v>
      </c>
      <c r="I79" s="53">
        <v>1</v>
      </c>
      <c r="J79" s="32">
        <f t="shared" si="4"/>
        <v>5.4904831625183013</v>
      </c>
      <c r="K79" s="135">
        <f t="shared" si="5"/>
        <v>8.1959999999999997</v>
      </c>
      <c r="L79" s="135" t="s">
        <v>17</v>
      </c>
      <c r="N79" s="38"/>
      <c r="O79" s="55">
        <v>250</v>
      </c>
      <c r="P79" s="21">
        <f t="shared" si="6"/>
        <v>1.8732000000000002</v>
      </c>
      <c r="Q79" s="21">
        <f t="shared" si="7"/>
        <v>2.8098000000000001</v>
      </c>
      <c r="R79" s="13"/>
      <c r="S79" s="14"/>
      <c r="T79" s="29"/>
      <c r="U79" s="14"/>
      <c r="V79" s="29"/>
    </row>
    <row r="80" spans="1:22">
      <c r="A80" s="160"/>
      <c r="B80" s="160"/>
      <c r="C80" s="35"/>
      <c r="D80" s="71"/>
      <c r="E80" s="36"/>
      <c r="F80" s="35"/>
      <c r="H80" s="35"/>
      <c r="I80" s="35"/>
      <c r="J80" s="60"/>
      <c r="K80" s="36"/>
      <c r="L80" s="36"/>
      <c r="M80" s="37"/>
      <c r="N80" s="38"/>
      <c r="O80" s="55"/>
      <c r="P80" s="21"/>
      <c r="Q80" s="21"/>
    </row>
    <row r="81" spans="1:26">
      <c r="A81" s="19" t="s">
        <v>18</v>
      </c>
      <c r="B81" s="39"/>
      <c r="C81" s="19"/>
      <c r="D81" s="19"/>
      <c r="E81" s="19"/>
      <c r="F81" s="19"/>
      <c r="G81" s="19"/>
      <c r="H81" s="19"/>
      <c r="I81" s="19"/>
      <c r="J81" s="19"/>
      <c r="K81" s="19"/>
      <c r="L81" s="19"/>
    </row>
    <row r="82" spans="1:26">
      <c r="A82" s="19"/>
      <c r="B82" s="19"/>
      <c r="C82" s="19"/>
      <c r="D82" s="19"/>
      <c r="E82" s="40"/>
      <c r="F82" s="20"/>
      <c r="G82" s="40"/>
      <c r="H82" s="19"/>
      <c r="I82" s="19"/>
      <c r="J82" s="19"/>
      <c r="K82" s="19"/>
      <c r="L82" s="19"/>
    </row>
    <row r="83" spans="1:26">
      <c r="A83" s="19"/>
      <c r="B83" s="19"/>
      <c r="C83" s="19"/>
      <c r="H83" s="19"/>
      <c r="I83" s="19"/>
      <c r="J83" s="19"/>
      <c r="K83" s="19"/>
      <c r="L83" s="19"/>
      <c r="O83" s="29"/>
    </row>
    <row r="84" spans="1:26">
      <c r="A84" s="19"/>
      <c r="B84" s="19"/>
      <c r="C84" s="19"/>
      <c r="H84" s="19"/>
      <c r="I84" s="19"/>
      <c r="J84" s="19"/>
      <c r="K84" s="19"/>
      <c r="L84" s="19"/>
    </row>
    <row r="85" spans="1:26">
      <c r="B85" s="19"/>
      <c r="C85" s="19"/>
      <c r="H85" s="19"/>
      <c r="I85" s="19"/>
      <c r="J85" s="19"/>
      <c r="K85" s="19"/>
      <c r="L85" s="19"/>
    </row>
    <row r="86" spans="1:26" s="31" customFormat="1" ht="11.25" customHeight="1">
      <c r="A86" s="19"/>
      <c r="B86" s="19"/>
      <c r="C86" s="19"/>
      <c r="D86" s="17" t="s">
        <v>2</v>
      </c>
      <c r="E86" s="19"/>
      <c r="F86" s="19"/>
      <c r="G86" s="19"/>
      <c r="H86" s="19"/>
      <c r="I86" s="19"/>
      <c r="J86" s="19"/>
      <c r="K86" s="19"/>
      <c r="L86" s="19"/>
      <c r="M86" s="17"/>
      <c r="N86" s="17"/>
      <c r="P86" s="17"/>
      <c r="Q86" s="17"/>
      <c r="R86" s="17"/>
      <c r="S86" s="17"/>
      <c r="T86" s="17"/>
      <c r="U86" s="17"/>
      <c r="W86" s="17"/>
      <c r="X86" s="17"/>
      <c r="Y86" s="17"/>
      <c r="Z86" s="17"/>
    </row>
    <row r="87" spans="1:26" s="31" customFormat="1" ht="16.5" customHeight="1">
      <c r="A87" s="19"/>
      <c r="B87" s="19"/>
      <c r="C87" s="19"/>
      <c r="D87" s="17"/>
      <c r="E87" s="40"/>
      <c r="F87" s="40"/>
      <c r="G87" s="40"/>
      <c r="H87" s="19"/>
      <c r="I87" s="19"/>
      <c r="J87" s="19"/>
      <c r="K87" s="19"/>
      <c r="L87" s="19"/>
      <c r="M87" s="17"/>
      <c r="N87" s="17"/>
      <c r="P87" s="17"/>
      <c r="Q87" s="17"/>
      <c r="R87" s="17"/>
      <c r="S87" s="17"/>
      <c r="T87" s="17"/>
      <c r="U87" s="17"/>
      <c r="W87" s="17"/>
      <c r="X87" s="17"/>
      <c r="Y87" s="17"/>
      <c r="Z87" s="17"/>
    </row>
    <row r="88" spans="1:26" s="31" customFormat="1" ht="18.75" customHeight="1">
      <c r="A88" s="19"/>
      <c r="B88" s="19"/>
      <c r="C88" s="19"/>
      <c r="D88" s="17"/>
      <c r="E88" s="40"/>
      <c r="F88" s="40"/>
      <c r="G88" s="40"/>
      <c r="H88" s="19"/>
      <c r="I88" s="19"/>
      <c r="J88" s="19"/>
      <c r="K88" s="19"/>
      <c r="L88" s="19"/>
      <c r="M88" s="17"/>
      <c r="N88" s="17"/>
      <c r="P88" s="17"/>
      <c r="Q88" s="17"/>
      <c r="R88" s="17"/>
      <c r="S88" s="17"/>
      <c r="T88" s="17"/>
      <c r="U88" s="17"/>
      <c r="W88" s="17"/>
      <c r="X88" s="17"/>
      <c r="Y88" s="17"/>
      <c r="Z88" s="17"/>
    </row>
    <row r="89" spans="1:26" s="31" customFormat="1" ht="18.75" customHeight="1">
      <c r="A89" s="19"/>
      <c r="B89" s="19"/>
      <c r="C89" s="19"/>
      <c r="D89" s="17"/>
      <c r="E89" s="40"/>
      <c r="F89" s="40"/>
      <c r="G89" s="40"/>
      <c r="H89" s="19"/>
      <c r="I89" s="19"/>
      <c r="J89" s="19"/>
      <c r="K89" s="19"/>
      <c r="L89" s="19"/>
      <c r="M89" s="17"/>
      <c r="N89" s="17"/>
      <c r="P89" s="17"/>
      <c r="Q89" s="17"/>
      <c r="R89" s="17"/>
      <c r="S89" s="17"/>
      <c r="T89" s="17"/>
      <c r="U89" s="17"/>
      <c r="W89" s="17"/>
      <c r="X89" s="17"/>
      <c r="Y89" s="17"/>
      <c r="Z89" s="17"/>
    </row>
    <row r="90" spans="1:26" s="31" customFormat="1" ht="12.75" customHeight="1">
      <c r="A90" s="19"/>
      <c r="B90" s="19"/>
      <c r="C90" s="19"/>
      <c r="D90" s="19"/>
      <c r="E90" s="40"/>
      <c r="F90" s="40"/>
      <c r="G90" s="40"/>
      <c r="H90" s="19"/>
      <c r="I90" s="19"/>
      <c r="J90" s="19"/>
      <c r="K90" s="19"/>
      <c r="L90" s="19"/>
      <c r="M90" s="17"/>
      <c r="N90" s="17"/>
      <c r="P90" s="17"/>
      <c r="Q90" s="17"/>
      <c r="R90" s="17"/>
      <c r="S90" s="17"/>
      <c r="T90" s="17"/>
      <c r="U90" s="17"/>
      <c r="W90" s="17"/>
      <c r="X90" s="17"/>
      <c r="Y90" s="17"/>
      <c r="Z90" s="17"/>
    </row>
    <row r="91" spans="1:26" s="31" customFormat="1" ht="15" customHeight="1">
      <c r="A91" s="19"/>
      <c r="B91" s="19"/>
      <c r="C91" s="19"/>
      <c r="D91" s="19"/>
      <c r="E91" s="40"/>
      <c r="F91" s="40"/>
      <c r="G91" s="40"/>
      <c r="H91" s="19"/>
      <c r="I91" s="19"/>
      <c r="J91" s="19"/>
      <c r="K91" s="19"/>
      <c r="L91" s="19"/>
      <c r="M91" s="17"/>
      <c r="N91" s="17"/>
      <c r="P91" s="17"/>
      <c r="Q91" s="17"/>
      <c r="R91" s="17"/>
      <c r="S91" s="17"/>
      <c r="T91" s="17"/>
      <c r="U91" s="17"/>
      <c r="W91" s="17"/>
      <c r="X91" s="17"/>
      <c r="Y91" s="17"/>
      <c r="Z91" s="17"/>
    </row>
    <row r="92" spans="1:26" ht="7.5" customHeight="1">
      <c r="A92" s="19"/>
      <c r="B92" s="19"/>
      <c r="C92" s="19"/>
      <c r="D92" s="19"/>
      <c r="E92" s="40"/>
      <c r="F92" s="40"/>
      <c r="G92" s="40"/>
      <c r="H92" s="19"/>
      <c r="I92" s="19"/>
      <c r="J92" s="19"/>
      <c r="K92" s="19"/>
      <c r="L92" s="19"/>
      <c r="M92" s="19"/>
    </row>
    <row r="93" spans="1:26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</row>
    <row r="94" spans="1:26">
      <c r="A94" s="17" t="s">
        <v>19</v>
      </c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</row>
    <row r="95" spans="1:26"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</row>
    <row r="96" spans="1:26">
      <c r="C96" s="139" t="s">
        <v>20</v>
      </c>
      <c r="D96" s="41">
        <v>80</v>
      </c>
      <c r="F96" s="19"/>
      <c r="G96" s="19"/>
      <c r="H96" s="19"/>
      <c r="I96" s="19"/>
      <c r="J96" s="19"/>
      <c r="K96" s="19"/>
      <c r="L96" s="19"/>
      <c r="M96" s="19"/>
    </row>
    <row r="97" spans="1:24">
      <c r="C97" s="295" t="s">
        <v>21</v>
      </c>
      <c r="D97" s="4">
        <v>1.2</v>
      </c>
      <c r="E97" s="1" t="s">
        <v>174</v>
      </c>
      <c r="F97" s="19"/>
      <c r="G97" s="19"/>
      <c r="H97" s="19"/>
      <c r="I97" s="19"/>
      <c r="J97" s="19"/>
      <c r="K97" s="19"/>
      <c r="L97" s="19"/>
      <c r="M97" s="19"/>
    </row>
    <row r="98" spans="1:24">
      <c r="C98" s="296"/>
      <c r="D98" s="4">
        <v>1.1000000000000001</v>
      </c>
      <c r="E98" s="1" t="s">
        <v>22</v>
      </c>
      <c r="F98" s="19"/>
      <c r="G98" s="19"/>
      <c r="H98" s="19"/>
      <c r="I98" s="19"/>
      <c r="J98" s="19"/>
      <c r="K98" s="19"/>
      <c r="L98" s="19"/>
      <c r="M98" s="19"/>
    </row>
    <row r="99" spans="1:24">
      <c r="C99" s="297"/>
      <c r="D99" s="42">
        <v>1</v>
      </c>
      <c r="E99" s="1" t="s">
        <v>175</v>
      </c>
      <c r="M99" s="19"/>
    </row>
    <row r="100" spans="1:24">
      <c r="M100" s="19"/>
    </row>
    <row r="101" spans="1:24" s="31" customFormat="1" ht="30" customHeight="1">
      <c r="A101" s="168"/>
      <c r="B101" s="138" t="str">
        <f>B$41</f>
        <v>Pozo de</v>
      </c>
      <c r="C101" s="163" t="str">
        <f>C$41</f>
        <v>Pozo a</v>
      </c>
      <c r="D101" s="163" t="s">
        <v>130</v>
      </c>
      <c r="E101" s="163" t="s">
        <v>209</v>
      </c>
      <c r="F101" s="163" t="s">
        <v>204</v>
      </c>
      <c r="G101" s="165" t="s">
        <v>134</v>
      </c>
      <c r="H101" s="163" t="s">
        <v>205</v>
      </c>
      <c r="I101" s="163" t="s">
        <v>224</v>
      </c>
      <c r="J101" s="163" t="s">
        <v>225</v>
      </c>
      <c r="K101" s="163" t="s">
        <v>210</v>
      </c>
      <c r="L101" s="163" t="s">
        <v>211</v>
      </c>
      <c r="N101" s="161" t="s">
        <v>23</v>
      </c>
      <c r="W101" s="17"/>
      <c r="X101" s="17"/>
    </row>
    <row r="102" spans="1:24" s="74" customFormat="1" ht="12" customHeight="1">
      <c r="A102" s="169"/>
      <c r="B102" s="140">
        <f t="shared" ref="B102:F111" si="8">+B42</f>
        <v>131946</v>
      </c>
      <c r="C102" s="140" t="str">
        <f t="shared" si="8"/>
        <v>131946A</v>
      </c>
      <c r="D102" s="135">
        <f t="shared" si="8"/>
        <v>7.41</v>
      </c>
      <c r="E102" s="95">
        <f t="shared" si="8"/>
        <v>8</v>
      </c>
      <c r="F102" s="135">
        <f t="shared" si="8"/>
        <v>0.2732</v>
      </c>
      <c r="G102" s="135">
        <f t="shared" ref="G102:H118" si="9">+H42</f>
        <v>2.73</v>
      </c>
      <c r="H102" s="135">
        <f t="shared" si="9"/>
        <v>1</v>
      </c>
      <c r="I102" s="135">
        <f>0.5+1.75*G102</f>
        <v>5.2774999999999999</v>
      </c>
      <c r="J102" s="135">
        <f>0.25+1.75*G102</f>
        <v>5.0274999999999999</v>
      </c>
      <c r="K102" s="135">
        <f>I102+1.75*(3*F102/4)</f>
        <v>5.6360749999999999</v>
      </c>
      <c r="L102" s="96">
        <f>$D$96*CHOOSE(N102,$D$97,$D$98,$D$99)/K102</f>
        <v>14.194275271354622</v>
      </c>
      <c r="M102" s="17"/>
      <c r="N102" s="75">
        <f>IF(G102&lt;0.6,1,IF(G102&lt;0.91,2,3))</f>
        <v>3</v>
      </c>
    </row>
    <row r="103" spans="1:24" s="74" customFormat="1" ht="12" customHeight="1">
      <c r="A103" s="169"/>
      <c r="B103" s="140" t="str">
        <f t="shared" si="8"/>
        <v>131946A</v>
      </c>
      <c r="C103" s="140">
        <f t="shared" si="8"/>
        <v>131916</v>
      </c>
      <c r="D103" s="135">
        <f t="shared" si="8"/>
        <v>51.05</v>
      </c>
      <c r="E103" s="95">
        <f t="shared" si="8"/>
        <v>8</v>
      </c>
      <c r="F103" s="135">
        <f t="shared" si="8"/>
        <v>0.2732</v>
      </c>
      <c r="G103" s="135">
        <f t="shared" si="9"/>
        <v>2.76</v>
      </c>
      <c r="H103" s="135">
        <f t="shared" si="9"/>
        <v>1</v>
      </c>
      <c r="I103" s="135">
        <f t="shared" ref="I103:I118" si="10">0.5+1.75*G103</f>
        <v>5.33</v>
      </c>
      <c r="J103" s="135">
        <f t="shared" ref="J103:J118" si="11">0.25+1.75*G103</f>
        <v>5.08</v>
      </c>
      <c r="K103" s="135">
        <f t="shared" ref="K103:K118" si="12">I103+1.75*(3*F103/4)</f>
        <v>5.6885750000000002</v>
      </c>
      <c r="L103" s="96">
        <f t="shared" ref="L103:L118" si="13">$D$96*CHOOSE(N103,$D$97,$D$98,$D$99)/K103</f>
        <v>14.063275952237598</v>
      </c>
      <c r="M103" s="17"/>
      <c r="N103" s="75">
        <f t="shared" ref="N103:N139" si="14">IF(G103&lt;0.6,1,IF(G103&lt;0.91,2,3))</f>
        <v>3</v>
      </c>
    </row>
    <row r="104" spans="1:24" s="74" customFormat="1" ht="12" customHeight="1">
      <c r="A104" s="169"/>
      <c r="B104" s="140">
        <f t="shared" si="8"/>
        <v>80268</v>
      </c>
      <c r="C104" s="140">
        <f t="shared" si="8"/>
        <v>131796</v>
      </c>
      <c r="D104" s="135">
        <f t="shared" si="8"/>
        <v>58.81</v>
      </c>
      <c r="E104" s="95">
        <f t="shared" si="8"/>
        <v>8</v>
      </c>
      <c r="F104" s="135">
        <f t="shared" si="8"/>
        <v>0.2732</v>
      </c>
      <c r="G104" s="135">
        <f t="shared" si="9"/>
        <v>2.98</v>
      </c>
      <c r="H104" s="135">
        <f t="shared" si="9"/>
        <v>1</v>
      </c>
      <c r="I104" s="135">
        <f t="shared" si="10"/>
        <v>5.7149999999999999</v>
      </c>
      <c r="J104" s="135">
        <f t="shared" si="11"/>
        <v>5.4649999999999999</v>
      </c>
      <c r="K104" s="135">
        <f t="shared" si="12"/>
        <v>6.0735749999999999</v>
      </c>
      <c r="L104" s="96">
        <f t="shared" si="13"/>
        <v>13.171813964592518</v>
      </c>
      <c r="M104" s="17"/>
      <c r="N104" s="75">
        <f t="shared" si="14"/>
        <v>3</v>
      </c>
    </row>
    <row r="105" spans="1:24" s="74" customFormat="1" ht="12" customHeight="1">
      <c r="A105" s="169"/>
      <c r="B105" s="140">
        <f t="shared" si="8"/>
        <v>131796</v>
      </c>
      <c r="C105" s="140">
        <f t="shared" si="8"/>
        <v>131732</v>
      </c>
      <c r="D105" s="135">
        <f t="shared" si="8"/>
        <v>62.58</v>
      </c>
      <c r="E105" s="95">
        <f t="shared" si="8"/>
        <v>8</v>
      </c>
      <c r="F105" s="135">
        <f t="shared" si="8"/>
        <v>0.2732</v>
      </c>
      <c r="G105" s="135">
        <f t="shared" si="9"/>
        <v>3.17</v>
      </c>
      <c r="H105" s="135">
        <f t="shared" si="9"/>
        <v>1</v>
      </c>
      <c r="I105" s="135">
        <f t="shared" si="10"/>
        <v>6.0474999999999994</v>
      </c>
      <c r="J105" s="135">
        <f t="shared" si="11"/>
        <v>5.7974999999999994</v>
      </c>
      <c r="K105" s="135">
        <f t="shared" si="12"/>
        <v>6.4060749999999995</v>
      </c>
      <c r="L105" s="96">
        <f t="shared" si="13"/>
        <v>12.488146017647312</v>
      </c>
      <c r="M105" s="17"/>
      <c r="N105" s="75">
        <f t="shared" si="14"/>
        <v>3</v>
      </c>
    </row>
    <row r="106" spans="1:24" s="74" customFormat="1" ht="12" customHeight="1">
      <c r="A106" s="169"/>
      <c r="B106" s="140" t="str">
        <f t="shared" si="8"/>
        <v>78819A</v>
      </c>
      <c r="C106" s="140" t="str">
        <f t="shared" si="8"/>
        <v>131750A</v>
      </c>
      <c r="D106" s="135">
        <f t="shared" si="8"/>
        <v>30.3</v>
      </c>
      <c r="E106" s="95">
        <f t="shared" si="8"/>
        <v>10</v>
      </c>
      <c r="F106" s="135">
        <f t="shared" si="8"/>
        <v>0.32400000000000001</v>
      </c>
      <c r="G106" s="135">
        <f t="shared" si="9"/>
        <v>2.98</v>
      </c>
      <c r="H106" s="135">
        <f t="shared" si="9"/>
        <v>1</v>
      </c>
      <c r="I106" s="135">
        <f t="shared" si="10"/>
        <v>5.7149999999999999</v>
      </c>
      <c r="J106" s="135">
        <f t="shared" si="11"/>
        <v>5.4649999999999999</v>
      </c>
      <c r="K106" s="135">
        <f t="shared" si="12"/>
        <v>6.14025</v>
      </c>
      <c r="L106" s="96">
        <f t="shared" si="13"/>
        <v>13.028785472904199</v>
      </c>
      <c r="M106" s="17"/>
      <c r="N106" s="75">
        <f t="shared" si="14"/>
        <v>3</v>
      </c>
    </row>
    <row r="107" spans="1:24" s="74" customFormat="1" ht="12" customHeight="1">
      <c r="A107" s="169"/>
      <c r="B107" s="140" t="str">
        <f t="shared" si="8"/>
        <v>131750A</v>
      </c>
      <c r="C107" s="140">
        <f t="shared" si="8"/>
        <v>131732</v>
      </c>
      <c r="D107" s="135">
        <f t="shared" si="8"/>
        <v>30.16</v>
      </c>
      <c r="E107" s="95">
        <f t="shared" si="8"/>
        <v>10</v>
      </c>
      <c r="F107" s="135">
        <f t="shared" si="8"/>
        <v>0.32400000000000001</v>
      </c>
      <c r="G107" s="135">
        <f t="shared" si="9"/>
        <v>2.63</v>
      </c>
      <c r="H107" s="135">
        <f t="shared" si="9"/>
        <v>1</v>
      </c>
      <c r="I107" s="135">
        <f t="shared" si="10"/>
        <v>5.1025</v>
      </c>
      <c r="J107" s="135">
        <f t="shared" si="11"/>
        <v>4.8525</v>
      </c>
      <c r="K107" s="135">
        <f t="shared" si="12"/>
        <v>5.5277500000000002</v>
      </c>
      <c r="L107" s="96">
        <f t="shared" si="13"/>
        <v>14.472434534846908</v>
      </c>
      <c r="M107" s="17"/>
      <c r="N107" s="75">
        <f t="shared" si="14"/>
        <v>3</v>
      </c>
    </row>
    <row r="108" spans="1:24" s="74" customFormat="1" ht="12" customHeight="1">
      <c r="A108" s="169"/>
      <c r="B108" s="140" t="str">
        <f t="shared" si="8"/>
        <v>131732A</v>
      </c>
      <c r="C108" s="140">
        <f t="shared" si="8"/>
        <v>131732</v>
      </c>
      <c r="D108" s="135">
        <f t="shared" si="8"/>
        <v>41.14</v>
      </c>
      <c r="E108" s="95">
        <f t="shared" si="8"/>
        <v>8</v>
      </c>
      <c r="F108" s="135">
        <f t="shared" si="8"/>
        <v>0.2732</v>
      </c>
      <c r="G108" s="135">
        <f t="shared" si="9"/>
        <v>2.37</v>
      </c>
      <c r="H108" s="135">
        <f t="shared" si="9"/>
        <v>1</v>
      </c>
      <c r="I108" s="135">
        <f t="shared" si="10"/>
        <v>4.6475</v>
      </c>
      <c r="J108" s="135">
        <f t="shared" si="11"/>
        <v>4.3975</v>
      </c>
      <c r="K108" s="135">
        <f t="shared" si="12"/>
        <v>5.0060750000000001</v>
      </c>
      <c r="L108" s="96">
        <f t="shared" si="13"/>
        <v>15.980583590937011</v>
      </c>
      <c r="M108" s="17"/>
      <c r="N108" s="75">
        <f t="shared" si="14"/>
        <v>3</v>
      </c>
    </row>
    <row r="109" spans="1:24" s="74" customFormat="1" ht="12" customHeight="1">
      <c r="A109" s="169"/>
      <c r="B109" s="140">
        <f t="shared" si="8"/>
        <v>80265</v>
      </c>
      <c r="C109" s="140" t="str">
        <f t="shared" si="8"/>
        <v>80265A</v>
      </c>
      <c r="D109" s="135">
        <f t="shared" si="8"/>
        <v>11.92</v>
      </c>
      <c r="E109" s="95">
        <f t="shared" si="8"/>
        <v>8</v>
      </c>
      <c r="F109" s="135">
        <f t="shared" si="8"/>
        <v>0.2732</v>
      </c>
      <c r="G109" s="135">
        <f t="shared" si="9"/>
        <v>2.4500000000000002</v>
      </c>
      <c r="H109" s="135">
        <f t="shared" si="9"/>
        <v>1</v>
      </c>
      <c r="I109" s="135">
        <f t="shared" si="10"/>
        <v>4.7875000000000005</v>
      </c>
      <c r="J109" s="135">
        <f t="shared" si="11"/>
        <v>4.5375000000000005</v>
      </c>
      <c r="K109" s="135">
        <f t="shared" si="12"/>
        <v>5.1460750000000006</v>
      </c>
      <c r="L109" s="96">
        <f t="shared" si="13"/>
        <v>15.545828616955639</v>
      </c>
      <c r="M109" s="17"/>
      <c r="N109" s="75">
        <f t="shared" si="14"/>
        <v>3</v>
      </c>
    </row>
    <row r="110" spans="1:24" s="74" customFormat="1" ht="12" customHeight="1">
      <c r="A110" s="169"/>
      <c r="B110" s="140" t="str">
        <f t="shared" si="8"/>
        <v>80265A</v>
      </c>
      <c r="C110" s="140" t="str">
        <f t="shared" si="8"/>
        <v>131732B</v>
      </c>
      <c r="D110" s="135">
        <f t="shared" si="8"/>
        <v>43.78</v>
      </c>
      <c r="E110" s="95">
        <f t="shared" si="8"/>
        <v>8</v>
      </c>
      <c r="F110" s="135">
        <f t="shared" si="8"/>
        <v>0.2732</v>
      </c>
      <c r="G110" s="135">
        <f t="shared" si="9"/>
        <v>2.2999999999999998</v>
      </c>
      <c r="H110" s="135">
        <f t="shared" si="9"/>
        <v>1</v>
      </c>
      <c r="I110" s="135">
        <f t="shared" si="10"/>
        <v>4.5249999999999995</v>
      </c>
      <c r="J110" s="135">
        <f t="shared" si="11"/>
        <v>4.2749999999999995</v>
      </c>
      <c r="K110" s="135">
        <f t="shared" si="12"/>
        <v>4.8835749999999996</v>
      </c>
      <c r="L110" s="96">
        <f t="shared" si="13"/>
        <v>16.381441874036952</v>
      </c>
      <c r="M110" s="17"/>
      <c r="N110" s="75">
        <f t="shared" si="14"/>
        <v>3</v>
      </c>
    </row>
    <row r="111" spans="1:24" s="74" customFormat="1" ht="12" customHeight="1">
      <c r="A111" s="169"/>
      <c r="B111" s="140" t="str">
        <f t="shared" si="8"/>
        <v>PZ-V1</v>
      </c>
      <c r="C111" s="140" t="str">
        <f t="shared" si="8"/>
        <v>80265A</v>
      </c>
      <c r="D111" s="135">
        <f t="shared" si="8"/>
        <v>6.74</v>
      </c>
      <c r="E111" s="95">
        <f t="shared" si="8"/>
        <v>8</v>
      </c>
      <c r="F111" s="135">
        <f t="shared" si="8"/>
        <v>0.2732</v>
      </c>
      <c r="G111" s="135">
        <f t="shared" si="9"/>
        <v>1.46</v>
      </c>
      <c r="H111" s="135">
        <f t="shared" si="9"/>
        <v>1</v>
      </c>
      <c r="I111" s="135">
        <f t="shared" si="10"/>
        <v>3.0549999999999997</v>
      </c>
      <c r="J111" s="135">
        <f t="shared" si="11"/>
        <v>2.8049999999999997</v>
      </c>
      <c r="K111" s="135">
        <f t="shared" si="12"/>
        <v>3.4135749999999998</v>
      </c>
      <c r="L111" s="96">
        <f t="shared" si="13"/>
        <v>23.43584072416748</v>
      </c>
      <c r="M111" s="17"/>
      <c r="N111" s="75">
        <f t="shared" si="14"/>
        <v>3</v>
      </c>
    </row>
    <row r="112" spans="1:24" s="74" customFormat="1" ht="12" customHeight="1">
      <c r="A112" s="169"/>
      <c r="B112" s="140" t="str">
        <f t="shared" ref="B112:F118" si="15">+B52</f>
        <v>PZ-V2</v>
      </c>
      <c r="C112" s="140" t="str">
        <f t="shared" si="15"/>
        <v>131732B</v>
      </c>
      <c r="D112" s="135">
        <f t="shared" si="15"/>
        <v>6.78</v>
      </c>
      <c r="E112" s="95">
        <f t="shared" si="15"/>
        <v>8</v>
      </c>
      <c r="F112" s="135">
        <f t="shared" si="15"/>
        <v>0.2732</v>
      </c>
      <c r="G112" s="135">
        <f t="shared" si="9"/>
        <v>1.75</v>
      </c>
      <c r="H112" s="135">
        <f t="shared" si="9"/>
        <v>1</v>
      </c>
      <c r="I112" s="135">
        <f t="shared" si="10"/>
        <v>3.5625</v>
      </c>
      <c r="J112" s="135">
        <f t="shared" si="11"/>
        <v>3.3125</v>
      </c>
      <c r="K112" s="135">
        <f t="shared" si="12"/>
        <v>3.9210750000000001</v>
      </c>
      <c r="L112" s="96">
        <f t="shared" si="13"/>
        <v>20.402568173268811</v>
      </c>
      <c r="M112" s="17"/>
      <c r="N112" s="75">
        <f t="shared" si="14"/>
        <v>3</v>
      </c>
    </row>
    <row r="113" spans="1:14" s="74" customFormat="1" ht="12" customHeight="1">
      <c r="A113" s="169"/>
      <c r="B113" s="140" t="str">
        <f t="shared" si="15"/>
        <v>PA-01</v>
      </c>
      <c r="C113" s="140" t="str">
        <f t="shared" si="15"/>
        <v>PA-02</v>
      </c>
      <c r="D113" s="135">
        <f t="shared" si="15"/>
        <v>33.71</v>
      </c>
      <c r="E113" s="95">
        <f t="shared" si="15"/>
        <v>12</v>
      </c>
      <c r="F113" s="135">
        <f t="shared" si="15"/>
        <v>0.32400000000000001</v>
      </c>
      <c r="G113" s="135">
        <f t="shared" si="9"/>
        <v>1.2</v>
      </c>
      <c r="H113" s="135">
        <f t="shared" si="9"/>
        <v>1</v>
      </c>
      <c r="I113" s="135">
        <f t="shared" si="10"/>
        <v>2.6</v>
      </c>
      <c r="J113" s="135">
        <f t="shared" si="11"/>
        <v>2.35</v>
      </c>
      <c r="K113" s="135">
        <f t="shared" si="12"/>
        <v>3.0252500000000002</v>
      </c>
      <c r="L113" s="96">
        <f t="shared" si="13"/>
        <v>26.444095529295097</v>
      </c>
      <c r="M113" s="17"/>
      <c r="N113" s="75">
        <f t="shared" si="14"/>
        <v>3</v>
      </c>
    </row>
    <row r="114" spans="1:14" s="74" customFormat="1" ht="12" customHeight="1">
      <c r="A114" s="169"/>
      <c r="B114" s="140" t="str">
        <f t="shared" si="15"/>
        <v>PA-02</v>
      </c>
      <c r="C114" s="140">
        <f t="shared" si="15"/>
        <v>78059</v>
      </c>
      <c r="D114" s="135">
        <f t="shared" si="15"/>
        <v>20.75</v>
      </c>
      <c r="E114" s="95">
        <f t="shared" si="15"/>
        <v>12</v>
      </c>
      <c r="F114" s="135">
        <f t="shared" si="15"/>
        <v>0.32400000000000001</v>
      </c>
      <c r="G114" s="135">
        <f t="shared" si="9"/>
        <v>1.25</v>
      </c>
      <c r="H114" s="135">
        <f t="shared" si="9"/>
        <v>1</v>
      </c>
      <c r="I114" s="135">
        <f t="shared" si="10"/>
        <v>2.6875</v>
      </c>
      <c r="J114" s="135">
        <f t="shared" si="11"/>
        <v>2.4375</v>
      </c>
      <c r="K114" s="135">
        <f t="shared" si="12"/>
        <v>3.1127500000000001</v>
      </c>
      <c r="L114" s="96">
        <f t="shared" si="13"/>
        <v>25.700746927957592</v>
      </c>
      <c r="M114" s="17"/>
      <c r="N114" s="75">
        <f t="shared" si="14"/>
        <v>3</v>
      </c>
    </row>
    <row r="115" spans="1:14" s="74" customFormat="1" ht="12" customHeight="1">
      <c r="A115" s="169"/>
      <c r="B115" s="140" t="str">
        <f t="shared" si="15"/>
        <v>PA-03</v>
      </c>
      <c r="C115" s="140">
        <f t="shared" si="15"/>
        <v>78315</v>
      </c>
      <c r="D115" s="135">
        <f t="shared" si="15"/>
        <v>24.96</v>
      </c>
      <c r="E115" s="95">
        <f t="shared" si="15"/>
        <v>12</v>
      </c>
      <c r="F115" s="135">
        <f t="shared" si="15"/>
        <v>0.32400000000000001</v>
      </c>
      <c r="G115" s="135">
        <f t="shared" si="9"/>
        <v>1.2</v>
      </c>
      <c r="H115" s="135">
        <f t="shared" si="9"/>
        <v>1</v>
      </c>
      <c r="I115" s="135">
        <f t="shared" si="10"/>
        <v>2.6</v>
      </c>
      <c r="J115" s="135">
        <f t="shared" si="11"/>
        <v>2.35</v>
      </c>
      <c r="K115" s="135">
        <f t="shared" si="12"/>
        <v>3.0252500000000002</v>
      </c>
      <c r="L115" s="96">
        <f t="shared" si="13"/>
        <v>26.444095529295097</v>
      </c>
      <c r="M115" s="17"/>
      <c r="N115" s="75">
        <f t="shared" si="14"/>
        <v>3</v>
      </c>
    </row>
    <row r="116" spans="1:14" s="74" customFormat="1" ht="12" customHeight="1">
      <c r="A116" s="169"/>
      <c r="B116" s="140" t="str">
        <f t="shared" si="15"/>
        <v>PA-04</v>
      </c>
      <c r="C116" s="140">
        <f t="shared" si="15"/>
        <v>78059</v>
      </c>
      <c r="D116" s="135">
        <f t="shared" si="15"/>
        <v>8.75</v>
      </c>
      <c r="E116" s="95">
        <f t="shared" si="15"/>
        <v>12</v>
      </c>
      <c r="F116" s="135">
        <f t="shared" si="15"/>
        <v>0.32400000000000001</v>
      </c>
      <c r="G116" s="135">
        <f t="shared" si="9"/>
        <v>1.75</v>
      </c>
      <c r="H116" s="135">
        <f t="shared" si="9"/>
        <v>1</v>
      </c>
      <c r="I116" s="135">
        <f t="shared" si="10"/>
        <v>3.5625</v>
      </c>
      <c r="J116" s="135">
        <f t="shared" si="11"/>
        <v>3.3125</v>
      </c>
      <c r="K116" s="135">
        <f t="shared" si="12"/>
        <v>3.9877500000000001</v>
      </c>
      <c r="L116" s="96">
        <f t="shared" si="13"/>
        <v>20.061438154347687</v>
      </c>
      <c r="M116" s="17"/>
      <c r="N116" s="75">
        <f t="shared" si="14"/>
        <v>3</v>
      </c>
    </row>
    <row r="117" spans="1:14" s="74" customFormat="1" ht="12" customHeight="1">
      <c r="A117" s="169"/>
      <c r="B117" s="140" t="str">
        <f t="shared" si="15"/>
        <v>PA-05</v>
      </c>
      <c r="C117" s="140">
        <f t="shared" si="15"/>
        <v>78819</v>
      </c>
      <c r="D117" s="135">
        <f t="shared" si="15"/>
        <v>11.14</v>
      </c>
      <c r="E117" s="95">
        <f t="shared" si="15"/>
        <v>12</v>
      </c>
      <c r="F117" s="135">
        <f t="shared" si="15"/>
        <v>0.32400000000000001</v>
      </c>
      <c r="G117" s="135">
        <f t="shared" si="9"/>
        <v>1.24</v>
      </c>
      <c r="H117" s="135">
        <f t="shared" si="9"/>
        <v>1</v>
      </c>
      <c r="I117" s="135">
        <f t="shared" si="10"/>
        <v>2.67</v>
      </c>
      <c r="J117" s="135">
        <f t="shared" si="11"/>
        <v>2.42</v>
      </c>
      <c r="K117" s="135">
        <f t="shared" si="12"/>
        <v>3.0952500000000001</v>
      </c>
      <c r="L117" s="96">
        <f t="shared" si="13"/>
        <v>25.84605443825216</v>
      </c>
      <c r="M117" s="17"/>
      <c r="N117" s="75">
        <f t="shared" si="14"/>
        <v>3</v>
      </c>
    </row>
    <row r="118" spans="1:14" s="74" customFormat="1" ht="12" customHeight="1">
      <c r="A118" s="169"/>
      <c r="B118" s="140" t="str">
        <f t="shared" si="15"/>
        <v>PA-06</v>
      </c>
      <c r="C118" s="140">
        <f t="shared" si="15"/>
        <v>78812</v>
      </c>
      <c r="D118" s="135">
        <f t="shared" si="15"/>
        <v>8.59</v>
      </c>
      <c r="E118" s="95">
        <f t="shared" si="15"/>
        <v>12</v>
      </c>
      <c r="F118" s="135">
        <f t="shared" si="15"/>
        <v>0.32400000000000001</v>
      </c>
      <c r="G118" s="135">
        <f t="shared" si="9"/>
        <v>1.3</v>
      </c>
      <c r="H118" s="135">
        <f t="shared" si="9"/>
        <v>1</v>
      </c>
      <c r="I118" s="135">
        <f t="shared" si="10"/>
        <v>2.7749999999999999</v>
      </c>
      <c r="J118" s="135">
        <f t="shared" si="11"/>
        <v>2.5249999999999999</v>
      </c>
      <c r="K118" s="135">
        <f t="shared" si="12"/>
        <v>3.20025</v>
      </c>
      <c r="L118" s="96">
        <f t="shared" si="13"/>
        <v>24.998047027575971</v>
      </c>
      <c r="M118" s="17"/>
      <c r="N118" s="75">
        <f t="shared" si="14"/>
        <v>3</v>
      </c>
    </row>
    <row r="119" spans="1:14" s="74" customFormat="1" ht="12" customHeight="1">
      <c r="A119" s="169"/>
      <c r="B119" s="311" t="str">
        <f t="shared" ref="B119" si="16">+B59</f>
        <v>SUMIDEROS</v>
      </c>
      <c r="C119" s="311"/>
      <c r="D119" s="311"/>
      <c r="E119" s="311"/>
      <c r="F119" s="311"/>
      <c r="G119" s="311"/>
      <c r="H119" s="311"/>
      <c r="I119" s="311"/>
      <c r="J119" s="311"/>
      <c r="K119" s="311"/>
      <c r="L119" s="311"/>
      <c r="M119" s="17"/>
      <c r="N119" s="75"/>
    </row>
    <row r="120" spans="1:14" s="74" customFormat="1" ht="12" customHeight="1">
      <c r="A120" s="169"/>
      <c r="B120" s="140" t="str">
        <f t="shared" ref="B120:F120" si="17">+B60</f>
        <v>S1</v>
      </c>
      <c r="C120" s="140">
        <f t="shared" si="17"/>
        <v>79804</v>
      </c>
      <c r="D120" s="135">
        <f t="shared" si="17"/>
        <v>8.5</v>
      </c>
      <c r="E120" s="95">
        <f t="shared" si="17"/>
        <v>10</v>
      </c>
      <c r="F120" s="135">
        <f t="shared" si="17"/>
        <v>0.2732</v>
      </c>
      <c r="G120" s="135">
        <f t="shared" ref="G120:H120" si="18">+H60</f>
        <v>1.1000000000000001</v>
      </c>
      <c r="H120" s="135">
        <f t="shared" si="18"/>
        <v>1</v>
      </c>
      <c r="I120" s="135">
        <f t="shared" ref="I120:I139" si="19">0.5+1.75*G120</f>
        <v>2.4250000000000003</v>
      </c>
      <c r="J120" s="135">
        <f t="shared" ref="J120:J139" si="20">0.25+1.75*G120</f>
        <v>2.1750000000000003</v>
      </c>
      <c r="K120" s="135">
        <f t="shared" ref="K120:K139" si="21">I120+1.75*(3*F120/4)</f>
        <v>2.7835750000000004</v>
      </c>
      <c r="L120" s="96">
        <f t="shared" ref="L120:L139" si="22">$D$96*CHOOSE(N120,$D$97,$D$98,$D$99)/K120</f>
        <v>28.740019579138334</v>
      </c>
      <c r="M120" s="17"/>
      <c r="N120" s="75">
        <f t="shared" si="14"/>
        <v>3</v>
      </c>
    </row>
    <row r="121" spans="1:14" s="74" customFormat="1" ht="12" customHeight="1">
      <c r="A121" s="169"/>
      <c r="B121" s="140" t="str">
        <f t="shared" ref="B121:F121" si="23">+B61</f>
        <v>S2</v>
      </c>
      <c r="C121" s="140">
        <f t="shared" si="23"/>
        <v>79804</v>
      </c>
      <c r="D121" s="135">
        <f t="shared" si="23"/>
        <v>7.2</v>
      </c>
      <c r="E121" s="95">
        <f t="shared" si="23"/>
        <v>10</v>
      </c>
      <c r="F121" s="135">
        <f t="shared" si="23"/>
        <v>0.2732</v>
      </c>
      <c r="G121" s="135">
        <f t="shared" ref="G121:H121" si="24">+H61</f>
        <v>1.1000000000000001</v>
      </c>
      <c r="H121" s="135">
        <f t="shared" si="24"/>
        <v>1</v>
      </c>
      <c r="I121" s="135">
        <f t="shared" si="19"/>
        <v>2.4250000000000003</v>
      </c>
      <c r="J121" s="135">
        <f t="shared" si="20"/>
        <v>2.1750000000000003</v>
      </c>
      <c r="K121" s="135">
        <f t="shared" si="21"/>
        <v>2.7835750000000004</v>
      </c>
      <c r="L121" s="96">
        <f t="shared" si="22"/>
        <v>28.740019579138334</v>
      </c>
      <c r="M121" s="17"/>
      <c r="N121" s="75">
        <f t="shared" si="14"/>
        <v>3</v>
      </c>
    </row>
    <row r="122" spans="1:14" s="74" customFormat="1" ht="12" customHeight="1">
      <c r="A122" s="169"/>
      <c r="B122" s="140" t="str">
        <f t="shared" ref="B122:F122" si="25">+B62</f>
        <v>S3</v>
      </c>
      <c r="C122" s="140" t="str">
        <f t="shared" si="25"/>
        <v>PA-03</v>
      </c>
      <c r="D122" s="135">
        <f t="shared" si="25"/>
        <v>3.2</v>
      </c>
      <c r="E122" s="95">
        <f t="shared" si="25"/>
        <v>10</v>
      </c>
      <c r="F122" s="135">
        <f t="shared" si="25"/>
        <v>0.2732</v>
      </c>
      <c r="G122" s="135">
        <f t="shared" ref="G122:H122" si="26">+H62</f>
        <v>1.22</v>
      </c>
      <c r="H122" s="135">
        <f t="shared" si="26"/>
        <v>1</v>
      </c>
      <c r="I122" s="135">
        <f t="shared" si="19"/>
        <v>2.6349999999999998</v>
      </c>
      <c r="J122" s="135">
        <f t="shared" si="20"/>
        <v>2.3849999999999998</v>
      </c>
      <c r="K122" s="135">
        <f t="shared" si="21"/>
        <v>2.9935749999999999</v>
      </c>
      <c r="L122" s="96">
        <f t="shared" si="22"/>
        <v>26.72390035325656</v>
      </c>
      <c r="M122" s="17"/>
      <c r="N122" s="75">
        <f t="shared" si="14"/>
        <v>3</v>
      </c>
    </row>
    <row r="123" spans="1:14" s="74" customFormat="1" ht="12" customHeight="1">
      <c r="A123" s="169"/>
      <c r="B123" s="140" t="str">
        <f t="shared" ref="B123:F123" si="27">+B63</f>
        <v>S4</v>
      </c>
      <c r="C123" s="140" t="str">
        <f t="shared" si="27"/>
        <v>PA-03</v>
      </c>
      <c r="D123" s="135">
        <f t="shared" si="27"/>
        <v>1.6</v>
      </c>
      <c r="E123" s="95">
        <f t="shared" si="27"/>
        <v>10</v>
      </c>
      <c r="F123" s="135">
        <f t="shared" si="27"/>
        <v>0.2732</v>
      </c>
      <c r="G123" s="135">
        <f t="shared" ref="G123:H123" si="28">+H63</f>
        <v>1.19</v>
      </c>
      <c r="H123" s="135">
        <f t="shared" si="28"/>
        <v>1</v>
      </c>
      <c r="I123" s="135">
        <f t="shared" si="19"/>
        <v>2.5825</v>
      </c>
      <c r="J123" s="135">
        <f t="shared" si="20"/>
        <v>2.3325</v>
      </c>
      <c r="K123" s="135">
        <f t="shared" si="21"/>
        <v>2.9410750000000001</v>
      </c>
      <c r="L123" s="96">
        <f t="shared" si="22"/>
        <v>27.200938432375917</v>
      </c>
      <c r="M123" s="17"/>
      <c r="N123" s="75">
        <f t="shared" si="14"/>
        <v>3</v>
      </c>
    </row>
    <row r="124" spans="1:14" s="74" customFormat="1" ht="12" customHeight="1">
      <c r="A124" s="169"/>
      <c r="B124" s="140" t="str">
        <f t="shared" ref="B124:F124" si="29">+B64</f>
        <v>S5</v>
      </c>
      <c r="C124" s="140">
        <f t="shared" si="29"/>
        <v>78315</v>
      </c>
      <c r="D124" s="135">
        <f t="shared" si="29"/>
        <v>12</v>
      </c>
      <c r="E124" s="95">
        <f t="shared" si="29"/>
        <v>10</v>
      </c>
      <c r="F124" s="135">
        <f t="shared" si="29"/>
        <v>0.2732</v>
      </c>
      <c r="G124" s="135">
        <f t="shared" ref="G124:H124" si="30">+H64</f>
        <v>1.4</v>
      </c>
      <c r="H124" s="135">
        <f t="shared" si="30"/>
        <v>1</v>
      </c>
      <c r="I124" s="135">
        <f t="shared" si="19"/>
        <v>2.9499999999999997</v>
      </c>
      <c r="J124" s="135">
        <f t="shared" si="20"/>
        <v>2.6999999999999997</v>
      </c>
      <c r="K124" s="135">
        <f t="shared" si="21"/>
        <v>3.3085749999999998</v>
      </c>
      <c r="L124" s="96">
        <f t="shared" si="22"/>
        <v>24.179593933944375</v>
      </c>
      <c r="M124" s="17"/>
      <c r="N124" s="75">
        <f t="shared" si="14"/>
        <v>3</v>
      </c>
    </row>
    <row r="125" spans="1:14" s="74" customFormat="1" ht="12" customHeight="1">
      <c r="A125" s="169"/>
      <c r="B125" s="140" t="str">
        <f t="shared" ref="B125:F125" si="31">+B65</f>
        <v>S6</v>
      </c>
      <c r="C125" s="140">
        <f t="shared" si="31"/>
        <v>78315</v>
      </c>
      <c r="D125" s="135">
        <f t="shared" si="31"/>
        <v>7.1</v>
      </c>
      <c r="E125" s="95">
        <f t="shared" si="31"/>
        <v>10</v>
      </c>
      <c r="F125" s="135">
        <f t="shared" si="31"/>
        <v>0.2732</v>
      </c>
      <c r="G125" s="135">
        <f t="shared" ref="G125:H125" si="32">+H65</f>
        <v>1.4</v>
      </c>
      <c r="H125" s="135">
        <f t="shared" si="32"/>
        <v>1</v>
      </c>
      <c r="I125" s="135">
        <f t="shared" si="19"/>
        <v>2.9499999999999997</v>
      </c>
      <c r="J125" s="135">
        <f t="shared" si="20"/>
        <v>2.6999999999999997</v>
      </c>
      <c r="K125" s="135">
        <f t="shared" si="21"/>
        <v>3.3085749999999998</v>
      </c>
      <c r="L125" s="96">
        <f t="shared" si="22"/>
        <v>24.179593933944375</v>
      </c>
      <c r="M125" s="17"/>
      <c r="N125" s="75">
        <f t="shared" si="14"/>
        <v>3</v>
      </c>
    </row>
    <row r="126" spans="1:14" s="74" customFormat="1" ht="12" customHeight="1">
      <c r="A126" s="169"/>
      <c r="B126" s="140" t="str">
        <f t="shared" ref="B126:F126" si="33">+B66</f>
        <v>S7</v>
      </c>
      <c r="C126" s="140" t="str">
        <f t="shared" si="33"/>
        <v>PA-01</v>
      </c>
      <c r="D126" s="135">
        <f t="shared" si="33"/>
        <v>2</v>
      </c>
      <c r="E126" s="95">
        <f t="shared" si="33"/>
        <v>10</v>
      </c>
      <c r="F126" s="135">
        <f t="shared" si="33"/>
        <v>0.2732</v>
      </c>
      <c r="G126" s="135">
        <f t="shared" ref="G126:H126" si="34">+H66</f>
        <v>1.1000000000000001</v>
      </c>
      <c r="H126" s="135">
        <f t="shared" si="34"/>
        <v>1</v>
      </c>
      <c r="I126" s="135">
        <f t="shared" si="19"/>
        <v>2.4250000000000003</v>
      </c>
      <c r="J126" s="135">
        <f t="shared" si="20"/>
        <v>2.1750000000000003</v>
      </c>
      <c r="K126" s="135">
        <f t="shared" si="21"/>
        <v>2.7835750000000004</v>
      </c>
      <c r="L126" s="96">
        <f t="shared" si="22"/>
        <v>28.740019579138334</v>
      </c>
      <c r="M126" s="17"/>
      <c r="N126" s="75">
        <f t="shared" si="14"/>
        <v>3</v>
      </c>
    </row>
    <row r="127" spans="1:14" s="74" customFormat="1" ht="12" customHeight="1">
      <c r="A127" s="169"/>
      <c r="B127" s="140" t="str">
        <f t="shared" ref="B127:F127" si="35">+B67</f>
        <v>S8</v>
      </c>
      <c r="C127" s="140" t="str">
        <f t="shared" si="35"/>
        <v>PA-01</v>
      </c>
      <c r="D127" s="135">
        <f t="shared" si="35"/>
        <v>3.1</v>
      </c>
      <c r="E127" s="95">
        <f t="shared" si="35"/>
        <v>10</v>
      </c>
      <c r="F127" s="135">
        <f t="shared" si="35"/>
        <v>0.2732</v>
      </c>
      <c r="G127" s="135">
        <f t="shared" ref="G127:H127" si="36">+H67</f>
        <v>1.1000000000000001</v>
      </c>
      <c r="H127" s="135">
        <f t="shared" si="36"/>
        <v>1</v>
      </c>
      <c r="I127" s="135">
        <f t="shared" si="19"/>
        <v>2.4250000000000003</v>
      </c>
      <c r="J127" s="135">
        <f t="shared" si="20"/>
        <v>2.1750000000000003</v>
      </c>
      <c r="K127" s="135">
        <f t="shared" si="21"/>
        <v>2.7835750000000004</v>
      </c>
      <c r="L127" s="96">
        <f t="shared" si="22"/>
        <v>28.740019579138334</v>
      </c>
      <c r="M127" s="17"/>
      <c r="N127" s="75">
        <f t="shared" si="14"/>
        <v>3</v>
      </c>
    </row>
    <row r="128" spans="1:14" s="74" customFormat="1" ht="12" customHeight="1">
      <c r="A128" s="169"/>
      <c r="B128" s="140" t="str">
        <f t="shared" ref="B128:F128" si="37">+B68</f>
        <v>S9</v>
      </c>
      <c r="C128" s="140" t="str">
        <f t="shared" si="37"/>
        <v>PA-02</v>
      </c>
      <c r="D128" s="135">
        <f t="shared" si="37"/>
        <v>2.1</v>
      </c>
      <c r="E128" s="95">
        <f t="shared" si="37"/>
        <v>10</v>
      </c>
      <c r="F128" s="135">
        <f t="shared" si="37"/>
        <v>0.2732</v>
      </c>
      <c r="G128" s="135">
        <f t="shared" ref="G128:H128" si="38">+H68</f>
        <v>1.2</v>
      </c>
      <c r="H128" s="135">
        <f t="shared" si="38"/>
        <v>1</v>
      </c>
      <c r="I128" s="135">
        <f t="shared" si="19"/>
        <v>2.6</v>
      </c>
      <c r="J128" s="135">
        <f t="shared" si="20"/>
        <v>2.35</v>
      </c>
      <c r="K128" s="135">
        <f t="shared" si="21"/>
        <v>2.9585750000000002</v>
      </c>
      <c r="L128" s="96">
        <f t="shared" si="22"/>
        <v>27.040044616073615</v>
      </c>
      <c r="M128" s="17"/>
      <c r="N128" s="75">
        <f t="shared" si="14"/>
        <v>3</v>
      </c>
    </row>
    <row r="129" spans="1:14" s="74" customFormat="1" ht="12" customHeight="1">
      <c r="A129" s="169"/>
      <c r="B129" s="140" t="str">
        <f t="shared" ref="B129:F129" si="39">+B69</f>
        <v>S10</v>
      </c>
      <c r="C129" s="140" t="str">
        <f t="shared" si="39"/>
        <v>PA-02</v>
      </c>
      <c r="D129" s="135">
        <f t="shared" si="39"/>
        <v>3.1</v>
      </c>
      <c r="E129" s="95">
        <f t="shared" si="39"/>
        <v>10</v>
      </c>
      <c r="F129" s="135">
        <f t="shared" si="39"/>
        <v>0.2732</v>
      </c>
      <c r="G129" s="135">
        <f t="shared" ref="G129:H129" si="40">+H69</f>
        <v>1.1000000000000001</v>
      </c>
      <c r="H129" s="135">
        <f t="shared" si="40"/>
        <v>1</v>
      </c>
      <c r="I129" s="135">
        <f t="shared" si="19"/>
        <v>2.4250000000000003</v>
      </c>
      <c r="J129" s="135">
        <f t="shared" si="20"/>
        <v>2.1750000000000003</v>
      </c>
      <c r="K129" s="135">
        <f t="shared" si="21"/>
        <v>2.7835750000000004</v>
      </c>
      <c r="L129" s="96">
        <f t="shared" si="22"/>
        <v>28.740019579138334</v>
      </c>
      <c r="M129" s="17"/>
      <c r="N129" s="75">
        <f t="shared" si="14"/>
        <v>3</v>
      </c>
    </row>
    <row r="130" spans="1:14" s="74" customFormat="1" ht="12" customHeight="1">
      <c r="A130" s="169"/>
      <c r="B130" s="140" t="str">
        <f t="shared" ref="B130:F130" si="41">+B70</f>
        <v>S11</v>
      </c>
      <c r="C130" s="140">
        <f t="shared" si="41"/>
        <v>78059</v>
      </c>
      <c r="D130" s="135">
        <f t="shared" si="41"/>
        <v>8.1</v>
      </c>
      <c r="E130" s="95">
        <f t="shared" si="41"/>
        <v>10</v>
      </c>
      <c r="F130" s="135">
        <f t="shared" si="41"/>
        <v>0.2732</v>
      </c>
      <c r="G130" s="135">
        <f t="shared" ref="G130:H130" si="42">+H70</f>
        <v>1.03</v>
      </c>
      <c r="H130" s="135">
        <f t="shared" si="42"/>
        <v>1</v>
      </c>
      <c r="I130" s="135">
        <f t="shared" si="19"/>
        <v>2.3025000000000002</v>
      </c>
      <c r="J130" s="135">
        <f t="shared" si="20"/>
        <v>2.0525000000000002</v>
      </c>
      <c r="K130" s="135">
        <f t="shared" si="21"/>
        <v>2.6610750000000003</v>
      </c>
      <c r="L130" s="96">
        <f t="shared" si="22"/>
        <v>30.063038433715693</v>
      </c>
      <c r="M130" s="17"/>
      <c r="N130" s="75">
        <f t="shared" si="14"/>
        <v>3</v>
      </c>
    </row>
    <row r="131" spans="1:14" s="74" customFormat="1" ht="12" customHeight="1">
      <c r="A131" s="169"/>
      <c r="B131" s="140" t="str">
        <f t="shared" ref="B131:F131" si="43">+B71</f>
        <v>S12</v>
      </c>
      <c r="C131" s="140">
        <f t="shared" si="43"/>
        <v>78059</v>
      </c>
      <c r="D131" s="135">
        <f t="shared" si="43"/>
        <v>6.2</v>
      </c>
      <c r="E131" s="95">
        <f t="shared" si="43"/>
        <v>10</v>
      </c>
      <c r="F131" s="135">
        <f t="shared" si="43"/>
        <v>0.2732</v>
      </c>
      <c r="G131" s="135">
        <f t="shared" ref="G131:H131" si="44">+H71</f>
        <v>1.05</v>
      </c>
      <c r="H131" s="135">
        <f t="shared" si="44"/>
        <v>1</v>
      </c>
      <c r="I131" s="135">
        <f t="shared" si="19"/>
        <v>2.3375000000000004</v>
      </c>
      <c r="J131" s="135">
        <f t="shared" si="20"/>
        <v>2.0875000000000004</v>
      </c>
      <c r="K131" s="135">
        <f t="shared" si="21"/>
        <v>2.6960750000000004</v>
      </c>
      <c r="L131" s="96">
        <f t="shared" si="22"/>
        <v>29.67276503806459</v>
      </c>
      <c r="M131" s="17"/>
      <c r="N131" s="75">
        <f t="shared" si="14"/>
        <v>3</v>
      </c>
    </row>
    <row r="132" spans="1:14" s="74" customFormat="1" ht="12" customHeight="1">
      <c r="A132" s="169"/>
      <c r="B132" s="140" t="str">
        <f t="shared" ref="B132:F132" si="45">+B72</f>
        <v>S13</v>
      </c>
      <c r="C132" s="140">
        <f t="shared" si="45"/>
        <v>79319</v>
      </c>
      <c r="D132" s="135">
        <f t="shared" si="45"/>
        <v>3.3</v>
      </c>
      <c r="E132" s="95">
        <f t="shared" si="45"/>
        <v>10</v>
      </c>
      <c r="F132" s="135">
        <f t="shared" si="45"/>
        <v>0.2732</v>
      </c>
      <c r="G132" s="135">
        <f t="shared" ref="G132:H132" si="46">+H72</f>
        <v>1.2</v>
      </c>
      <c r="H132" s="135">
        <f t="shared" si="46"/>
        <v>1</v>
      </c>
      <c r="I132" s="135">
        <f t="shared" si="19"/>
        <v>2.6</v>
      </c>
      <c r="J132" s="135">
        <f t="shared" si="20"/>
        <v>2.35</v>
      </c>
      <c r="K132" s="135">
        <f t="shared" si="21"/>
        <v>2.9585750000000002</v>
      </c>
      <c r="L132" s="96">
        <f t="shared" si="22"/>
        <v>27.040044616073615</v>
      </c>
      <c r="M132" s="17"/>
      <c r="N132" s="75">
        <f t="shared" si="14"/>
        <v>3</v>
      </c>
    </row>
    <row r="133" spans="1:14" s="74" customFormat="1" ht="12" customHeight="1">
      <c r="A133" s="169"/>
      <c r="B133" s="140" t="str">
        <f t="shared" ref="B133:F133" si="47">+B73</f>
        <v>S14</v>
      </c>
      <c r="C133" s="140">
        <f t="shared" si="47"/>
        <v>79319</v>
      </c>
      <c r="D133" s="135">
        <f t="shared" si="47"/>
        <v>4</v>
      </c>
      <c r="E133" s="95">
        <f t="shared" si="47"/>
        <v>10</v>
      </c>
      <c r="F133" s="135">
        <f t="shared" si="47"/>
        <v>0.2732</v>
      </c>
      <c r="G133" s="135">
        <f t="shared" ref="G133:H133" si="48">+H73</f>
        <v>1.2</v>
      </c>
      <c r="H133" s="135">
        <f t="shared" si="48"/>
        <v>1</v>
      </c>
      <c r="I133" s="135">
        <f t="shared" si="19"/>
        <v>2.6</v>
      </c>
      <c r="J133" s="135">
        <f t="shared" si="20"/>
        <v>2.35</v>
      </c>
      <c r="K133" s="135">
        <f t="shared" si="21"/>
        <v>2.9585750000000002</v>
      </c>
      <c r="L133" s="96">
        <f t="shared" si="22"/>
        <v>27.040044616073615</v>
      </c>
      <c r="M133" s="17"/>
      <c r="N133" s="75">
        <f t="shared" si="14"/>
        <v>3</v>
      </c>
    </row>
    <row r="134" spans="1:14" s="74" customFormat="1" ht="12" customHeight="1">
      <c r="A134" s="169"/>
      <c r="B134" s="140" t="str">
        <f t="shared" ref="B134:F134" si="49">+B74</f>
        <v>S15</v>
      </c>
      <c r="C134" s="140">
        <f t="shared" si="49"/>
        <v>78819</v>
      </c>
      <c r="D134" s="135">
        <f t="shared" si="49"/>
        <v>1.9</v>
      </c>
      <c r="E134" s="95">
        <f t="shared" si="49"/>
        <v>10</v>
      </c>
      <c r="F134" s="135">
        <f t="shared" si="49"/>
        <v>0.2732</v>
      </c>
      <c r="G134" s="135">
        <f t="shared" ref="G134:H134" si="50">+H74</f>
        <v>1.0900000000000001</v>
      </c>
      <c r="H134" s="135">
        <f t="shared" si="50"/>
        <v>1</v>
      </c>
      <c r="I134" s="135">
        <f t="shared" si="19"/>
        <v>2.4075000000000002</v>
      </c>
      <c r="J134" s="135">
        <f t="shared" si="20"/>
        <v>2.1575000000000002</v>
      </c>
      <c r="K134" s="135">
        <f t="shared" si="21"/>
        <v>2.7660750000000003</v>
      </c>
      <c r="L134" s="96">
        <f t="shared" si="22"/>
        <v>28.921847744547776</v>
      </c>
      <c r="M134" s="17"/>
      <c r="N134" s="75">
        <f t="shared" si="14"/>
        <v>3</v>
      </c>
    </row>
    <row r="135" spans="1:14" s="74" customFormat="1" ht="12" customHeight="1">
      <c r="A135" s="169"/>
      <c r="B135" s="140" t="str">
        <f t="shared" ref="B135:F135" si="51">+B75</f>
        <v>S16</v>
      </c>
      <c r="C135" s="140">
        <f t="shared" si="51"/>
        <v>78819</v>
      </c>
      <c r="D135" s="135">
        <f t="shared" si="51"/>
        <v>5.3</v>
      </c>
      <c r="E135" s="95">
        <f t="shared" si="51"/>
        <v>10</v>
      </c>
      <c r="F135" s="135">
        <f t="shared" si="51"/>
        <v>0.2732</v>
      </c>
      <c r="G135" s="135">
        <f t="shared" ref="G135:H135" si="52">+H75</f>
        <v>1.24</v>
      </c>
      <c r="H135" s="135">
        <f t="shared" si="52"/>
        <v>1</v>
      </c>
      <c r="I135" s="135">
        <f t="shared" si="19"/>
        <v>2.67</v>
      </c>
      <c r="J135" s="135">
        <f t="shared" si="20"/>
        <v>2.42</v>
      </c>
      <c r="K135" s="135">
        <f t="shared" si="21"/>
        <v>3.028575</v>
      </c>
      <c r="L135" s="96">
        <f t="shared" si="22"/>
        <v>26.415063189783975</v>
      </c>
      <c r="M135" s="17"/>
      <c r="N135" s="75">
        <f t="shared" si="14"/>
        <v>3</v>
      </c>
    </row>
    <row r="136" spans="1:14" s="74" customFormat="1" ht="12" customHeight="1">
      <c r="A136" s="169"/>
      <c r="B136" s="140" t="str">
        <f t="shared" ref="B136:F136" si="53">+B76</f>
        <v>S17</v>
      </c>
      <c r="C136" s="140">
        <f t="shared" si="53"/>
        <v>78819</v>
      </c>
      <c r="D136" s="135">
        <f t="shared" si="53"/>
        <v>2.6</v>
      </c>
      <c r="E136" s="95">
        <f t="shared" si="53"/>
        <v>10</v>
      </c>
      <c r="F136" s="135">
        <f t="shared" si="53"/>
        <v>0.2732</v>
      </c>
      <c r="G136" s="135">
        <f t="shared" ref="G136:H136" si="54">+H76</f>
        <v>1.1100000000000001</v>
      </c>
      <c r="H136" s="135">
        <f t="shared" si="54"/>
        <v>1</v>
      </c>
      <c r="I136" s="135">
        <f t="shared" si="19"/>
        <v>2.4424999999999999</v>
      </c>
      <c r="J136" s="135">
        <f t="shared" si="20"/>
        <v>2.1924999999999999</v>
      </c>
      <c r="K136" s="135">
        <f t="shared" si="21"/>
        <v>2.801075</v>
      </c>
      <c r="L136" s="96">
        <f t="shared" si="22"/>
        <v>28.56046339351856</v>
      </c>
      <c r="M136" s="17"/>
      <c r="N136" s="75">
        <f t="shared" si="14"/>
        <v>3</v>
      </c>
    </row>
    <row r="137" spans="1:14" s="74" customFormat="1" ht="12" customHeight="1">
      <c r="A137" s="169"/>
      <c r="B137" s="140" t="str">
        <f t="shared" ref="B137:F137" si="55">+B77</f>
        <v>S18</v>
      </c>
      <c r="C137" s="140">
        <f t="shared" si="55"/>
        <v>78819</v>
      </c>
      <c r="D137" s="135">
        <f t="shared" si="55"/>
        <v>3</v>
      </c>
      <c r="E137" s="95">
        <f t="shared" si="55"/>
        <v>10</v>
      </c>
      <c r="F137" s="135">
        <f t="shared" si="55"/>
        <v>0.2732</v>
      </c>
      <c r="G137" s="135">
        <f t="shared" ref="G137:H137" si="56">+H77</f>
        <v>1.1100000000000001</v>
      </c>
      <c r="H137" s="135">
        <f t="shared" si="56"/>
        <v>1</v>
      </c>
      <c r="I137" s="135">
        <f t="shared" si="19"/>
        <v>2.4424999999999999</v>
      </c>
      <c r="J137" s="135">
        <f t="shared" si="20"/>
        <v>2.1924999999999999</v>
      </c>
      <c r="K137" s="135">
        <f t="shared" si="21"/>
        <v>2.801075</v>
      </c>
      <c r="L137" s="96">
        <f t="shared" si="22"/>
        <v>28.56046339351856</v>
      </c>
      <c r="M137" s="17"/>
      <c r="N137" s="75">
        <f t="shared" si="14"/>
        <v>3</v>
      </c>
    </row>
    <row r="138" spans="1:14" s="74" customFormat="1" ht="12" customHeight="1">
      <c r="A138" s="169"/>
      <c r="B138" s="140" t="str">
        <f t="shared" ref="B138:F138" si="57">+B78</f>
        <v>S19</v>
      </c>
      <c r="C138" s="140">
        <f t="shared" si="57"/>
        <v>78059</v>
      </c>
      <c r="D138" s="135">
        <f t="shared" si="57"/>
        <v>1.4</v>
      </c>
      <c r="E138" s="95">
        <f t="shared" si="57"/>
        <v>10</v>
      </c>
      <c r="F138" s="135">
        <f t="shared" si="57"/>
        <v>0.2732</v>
      </c>
      <c r="G138" s="135">
        <f t="shared" ref="G138:H138" si="58">+H78</f>
        <v>1.5</v>
      </c>
      <c r="H138" s="135">
        <f t="shared" si="58"/>
        <v>1</v>
      </c>
      <c r="I138" s="135">
        <f t="shared" si="19"/>
        <v>3.125</v>
      </c>
      <c r="J138" s="135">
        <f t="shared" si="20"/>
        <v>2.875</v>
      </c>
      <c r="K138" s="135">
        <f t="shared" si="21"/>
        <v>3.4835750000000001</v>
      </c>
      <c r="L138" s="96">
        <f t="shared" si="22"/>
        <v>22.964913917455487</v>
      </c>
      <c r="M138" s="17"/>
      <c r="N138" s="75">
        <f t="shared" si="14"/>
        <v>3</v>
      </c>
    </row>
    <row r="139" spans="1:14" s="74" customFormat="1" ht="12" customHeight="1">
      <c r="A139" s="169"/>
      <c r="B139" s="140" t="str">
        <f t="shared" ref="B139:F139" si="59">+B79</f>
        <v>S20</v>
      </c>
      <c r="C139" s="140">
        <f t="shared" si="59"/>
        <v>78059</v>
      </c>
      <c r="D139" s="135">
        <f t="shared" si="59"/>
        <v>7.1</v>
      </c>
      <c r="E139" s="95">
        <f t="shared" si="59"/>
        <v>10</v>
      </c>
      <c r="F139" s="135">
        <f t="shared" si="59"/>
        <v>0.2732</v>
      </c>
      <c r="G139" s="135">
        <f t="shared" ref="G139:H139" si="60">+H79</f>
        <v>1.5</v>
      </c>
      <c r="H139" s="135">
        <f t="shared" si="60"/>
        <v>1</v>
      </c>
      <c r="I139" s="135">
        <f t="shared" si="19"/>
        <v>3.125</v>
      </c>
      <c r="J139" s="135">
        <f t="shared" si="20"/>
        <v>2.875</v>
      </c>
      <c r="K139" s="135">
        <f t="shared" si="21"/>
        <v>3.4835750000000001</v>
      </c>
      <c r="L139" s="96">
        <f t="shared" si="22"/>
        <v>22.964913917455487</v>
      </c>
      <c r="M139" s="17"/>
      <c r="N139" s="75">
        <f t="shared" si="14"/>
        <v>3</v>
      </c>
    </row>
    <row r="140" spans="1:14" s="74" customFormat="1" ht="11.25">
      <c r="E140" s="77"/>
      <c r="F140" s="78"/>
      <c r="G140" s="79"/>
      <c r="H140" s="79"/>
      <c r="I140" s="80"/>
      <c r="J140" s="80"/>
      <c r="K140" s="80"/>
    </row>
    <row r="141" spans="1:14">
      <c r="A141" s="19" t="s">
        <v>24</v>
      </c>
      <c r="D141" s="37"/>
      <c r="E141" s="30"/>
      <c r="F141" s="43"/>
      <c r="G141" s="43"/>
      <c r="H141" s="36"/>
      <c r="I141" s="36"/>
      <c r="J141" s="36"/>
    </row>
    <row r="142" spans="1:14">
      <c r="D142" s="37"/>
      <c r="E142" s="30"/>
      <c r="F142" s="43"/>
      <c r="G142" s="43"/>
      <c r="H142" s="36"/>
      <c r="I142" s="36"/>
      <c r="J142" s="36"/>
    </row>
    <row r="143" spans="1:14">
      <c r="A143" s="298" t="s">
        <v>116</v>
      </c>
      <c r="B143" s="298"/>
      <c r="C143" s="298"/>
      <c r="D143" s="298"/>
      <c r="E143" s="298"/>
      <c r="F143" s="298"/>
      <c r="G143" s="298"/>
      <c r="H143" s="298"/>
      <c r="I143" s="298"/>
      <c r="J143" s="298"/>
      <c r="K143" s="298"/>
      <c r="L143" s="298"/>
      <c r="M143" s="298"/>
    </row>
    <row r="144" spans="1:14">
      <c r="A144" s="298"/>
      <c r="B144" s="298"/>
      <c r="C144" s="298"/>
      <c r="D144" s="298"/>
      <c r="E144" s="298"/>
      <c r="F144" s="298"/>
      <c r="G144" s="298"/>
      <c r="H144" s="298"/>
      <c r="I144" s="298"/>
      <c r="J144" s="298"/>
      <c r="K144" s="298"/>
      <c r="L144" s="298"/>
      <c r="M144" s="298"/>
    </row>
    <row r="145" spans="1:240">
      <c r="D145" s="37"/>
      <c r="E145" s="30"/>
      <c r="F145" s="43"/>
      <c r="G145" s="43"/>
      <c r="H145" s="36"/>
      <c r="I145" s="36"/>
      <c r="J145" s="36"/>
    </row>
    <row r="146" spans="1:240">
      <c r="D146" s="37"/>
      <c r="E146" s="30"/>
      <c r="F146" s="43"/>
      <c r="G146" s="43"/>
      <c r="H146" s="36"/>
      <c r="I146" s="36"/>
      <c r="J146" s="36"/>
      <c r="P146" s="19"/>
      <c r="Q146" s="19"/>
      <c r="R146" s="19"/>
      <c r="S146" s="19"/>
      <c r="T146" s="19"/>
      <c r="U146" s="19"/>
      <c r="V146" s="19"/>
      <c r="Y146" s="19"/>
      <c r="Z146" s="19"/>
    </row>
    <row r="147" spans="1:240">
      <c r="D147" s="37"/>
      <c r="E147" s="30"/>
      <c r="F147" s="43"/>
      <c r="G147" s="43"/>
      <c r="H147" s="36"/>
      <c r="I147" s="36"/>
      <c r="J147" s="36"/>
      <c r="P147" s="19"/>
      <c r="Q147" s="19"/>
      <c r="R147" s="19"/>
      <c r="S147" s="19"/>
      <c r="T147" s="19"/>
      <c r="U147" s="19"/>
      <c r="V147" s="19"/>
      <c r="Y147" s="19"/>
      <c r="Z147" s="19"/>
    </row>
    <row r="148" spans="1:240">
      <c r="D148" s="37"/>
      <c r="E148" s="30"/>
      <c r="F148" s="43"/>
      <c r="G148" s="43"/>
      <c r="H148" s="36"/>
      <c r="I148" s="36"/>
      <c r="J148" s="36"/>
      <c r="P148" s="19"/>
      <c r="Q148" s="19"/>
      <c r="R148" s="19"/>
      <c r="S148" s="19"/>
      <c r="T148" s="19"/>
      <c r="U148" s="19"/>
      <c r="V148" s="19"/>
      <c r="Y148" s="19"/>
      <c r="Z148" s="19"/>
    </row>
    <row r="149" spans="1:240">
      <c r="D149" s="37"/>
      <c r="E149" s="30"/>
      <c r="F149" s="43"/>
      <c r="G149" s="43"/>
      <c r="H149" s="36"/>
      <c r="I149" s="36"/>
      <c r="J149" s="36"/>
      <c r="P149" s="19"/>
      <c r="Q149" s="19"/>
      <c r="R149" s="19"/>
      <c r="S149" s="19"/>
      <c r="T149" s="19"/>
      <c r="U149" s="19"/>
      <c r="V149" s="19"/>
      <c r="Y149" s="19"/>
      <c r="Z149" s="19"/>
    </row>
    <row r="150" spans="1:240">
      <c r="A150" s="17" t="s">
        <v>2</v>
      </c>
      <c r="D150" s="37"/>
      <c r="E150" s="30"/>
      <c r="F150" s="43"/>
      <c r="G150" s="43"/>
      <c r="H150" s="36"/>
      <c r="I150" s="36"/>
      <c r="J150" s="36"/>
      <c r="P150" s="19"/>
      <c r="Q150" s="19"/>
      <c r="R150" s="19"/>
      <c r="S150" s="19"/>
      <c r="T150" s="19"/>
      <c r="U150" s="19"/>
      <c r="V150" s="19"/>
      <c r="Y150" s="19"/>
      <c r="Z150" s="19"/>
    </row>
    <row r="151" spans="1:240">
      <c r="C151" s="44" t="s">
        <v>100</v>
      </c>
      <c r="D151" s="45" t="s">
        <v>25</v>
      </c>
      <c r="E151" s="30"/>
      <c r="F151" s="43"/>
      <c r="G151" s="43"/>
      <c r="H151" s="36"/>
      <c r="I151" s="36"/>
      <c r="J151" s="36"/>
      <c r="O151" s="72"/>
      <c r="P151" s="154"/>
      <c r="Q151" s="154"/>
      <c r="R151" s="154"/>
      <c r="S151" s="19"/>
      <c r="T151" s="19"/>
      <c r="U151" s="19"/>
      <c r="V151" s="19"/>
      <c r="Y151" s="19"/>
      <c r="Z151" s="19"/>
    </row>
    <row r="152" spans="1:240">
      <c r="C152" s="44" t="s">
        <v>101</v>
      </c>
      <c r="D152" s="45" t="s">
        <v>27</v>
      </c>
      <c r="E152" s="30"/>
      <c r="F152" s="43"/>
      <c r="G152" s="43"/>
      <c r="H152" s="36"/>
      <c r="I152" s="36"/>
      <c r="J152" s="36"/>
      <c r="O152" s="160"/>
      <c r="P152" s="155"/>
      <c r="Q152" s="154"/>
      <c r="R152" s="154"/>
      <c r="S152" s="19"/>
      <c r="T152" s="19"/>
      <c r="U152" s="19"/>
      <c r="V152" s="19"/>
      <c r="W152" s="19"/>
      <c r="X152" s="19"/>
      <c r="Y152" s="19"/>
      <c r="Z152" s="19"/>
    </row>
    <row r="153" spans="1:240">
      <c r="C153" s="17" t="s">
        <v>26</v>
      </c>
      <c r="D153" s="45" t="s">
        <v>76</v>
      </c>
      <c r="E153" s="30"/>
      <c r="F153" s="43"/>
      <c r="G153" s="43"/>
      <c r="H153" s="36"/>
      <c r="I153" s="36"/>
      <c r="J153" s="36"/>
      <c r="O153" s="72"/>
      <c r="P153" s="155"/>
      <c r="Q153" s="154"/>
      <c r="R153" s="154"/>
      <c r="S153" s="19"/>
      <c r="T153" s="19"/>
      <c r="U153" s="19"/>
      <c r="V153" s="19"/>
      <c r="W153" s="19"/>
      <c r="X153" s="19"/>
      <c r="Y153" s="19"/>
      <c r="Z153" s="19"/>
    </row>
    <row r="154" spans="1:240" ht="13.5">
      <c r="C154" s="46" t="s">
        <v>102</v>
      </c>
      <c r="D154" s="45" t="s">
        <v>28</v>
      </c>
      <c r="E154" s="30"/>
      <c r="F154" s="43"/>
      <c r="G154" s="43"/>
      <c r="H154" s="36"/>
      <c r="I154" s="36"/>
      <c r="J154" s="36"/>
      <c r="O154" s="72"/>
      <c r="P154" s="155"/>
      <c r="Q154" s="154"/>
      <c r="R154" s="154"/>
    </row>
    <row r="155" spans="1:240">
      <c r="C155" s="17" t="s">
        <v>29</v>
      </c>
      <c r="D155" s="45" t="s">
        <v>30</v>
      </c>
      <c r="E155" s="30"/>
      <c r="F155" s="43"/>
      <c r="G155" s="43"/>
      <c r="H155" s="36"/>
      <c r="I155" s="36"/>
      <c r="J155" s="36"/>
      <c r="O155" s="72"/>
      <c r="P155" s="72"/>
      <c r="Q155" s="72"/>
      <c r="R155" s="72"/>
    </row>
    <row r="156" spans="1:240">
      <c r="C156" s="17" t="s">
        <v>31</v>
      </c>
      <c r="D156" s="45" t="s">
        <v>32</v>
      </c>
      <c r="E156" s="30"/>
      <c r="F156" s="43"/>
      <c r="G156" s="43"/>
      <c r="H156" s="36"/>
      <c r="I156" s="36"/>
      <c r="J156" s="36"/>
      <c r="O156" s="72"/>
      <c r="P156" s="72"/>
      <c r="Q156" s="72"/>
      <c r="R156" s="72"/>
      <c r="S156" s="301" t="s">
        <v>50</v>
      </c>
      <c r="T156" s="301" t="s">
        <v>51</v>
      </c>
      <c r="U156" s="301"/>
      <c r="V156" s="301"/>
      <c r="W156" s="301"/>
      <c r="X156" s="301"/>
      <c r="Y156" s="301"/>
      <c r="Z156" s="301"/>
      <c r="AA156" s="301"/>
    </row>
    <row r="157" spans="1:240">
      <c r="D157" s="45" t="s">
        <v>33</v>
      </c>
      <c r="E157" s="30"/>
      <c r="F157" s="43"/>
      <c r="G157" s="43"/>
      <c r="H157" s="36"/>
      <c r="I157" s="36"/>
      <c r="J157" s="36"/>
      <c r="O157" s="19"/>
      <c r="S157" s="301"/>
      <c r="T157" s="116">
        <v>1.25</v>
      </c>
      <c r="U157" s="116">
        <v>1.5</v>
      </c>
      <c r="V157" s="116">
        <v>1.75</v>
      </c>
      <c r="W157" s="116">
        <v>2</v>
      </c>
      <c r="X157" s="116">
        <v>2.5</v>
      </c>
      <c r="Y157" s="116">
        <v>3</v>
      </c>
      <c r="Z157" s="116">
        <v>4</v>
      </c>
      <c r="AA157" s="116">
        <v>5</v>
      </c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19"/>
      <c r="BP157" s="19"/>
      <c r="BQ157" s="19"/>
      <c r="BR157" s="19"/>
      <c r="BS157" s="19"/>
      <c r="BT157" s="19"/>
      <c r="BU157" s="19"/>
      <c r="BV157" s="19"/>
      <c r="BW157" s="19"/>
      <c r="BX157" s="19"/>
      <c r="BY157" s="19"/>
      <c r="BZ157" s="19"/>
      <c r="CA157" s="19"/>
      <c r="CB157" s="19"/>
      <c r="CC157" s="19"/>
      <c r="CD157" s="19"/>
      <c r="CE157" s="19"/>
      <c r="CF157" s="19"/>
      <c r="CG157" s="19"/>
      <c r="CH157" s="19"/>
      <c r="CI157" s="19"/>
      <c r="CJ157" s="19"/>
      <c r="CK157" s="19"/>
      <c r="CL157" s="19"/>
      <c r="CM157" s="19"/>
      <c r="CN157" s="19"/>
      <c r="CO157" s="19"/>
      <c r="CP157" s="19"/>
      <c r="CQ157" s="19"/>
      <c r="CR157" s="19"/>
      <c r="CS157" s="19"/>
      <c r="CT157" s="19"/>
      <c r="CU157" s="19"/>
      <c r="CV157" s="19"/>
      <c r="CW157" s="19"/>
      <c r="CX157" s="19"/>
      <c r="CY157" s="19"/>
      <c r="CZ157" s="19"/>
      <c r="DA157" s="19"/>
      <c r="DB157" s="19"/>
      <c r="DC157" s="19"/>
      <c r="DD157" s="19"/>
      <c r="DE157" s="19"/>
      <c r="DF157" s="19"/>
      <c r="DG157" s="19"/>
      <c r="DH157" s="19"/>
      <c r="DI157" s="19"/>
      <c r="DJ157" s="19"/>
      <c r="DK157" s="19"/>
      <c r="DL157" s="19"/>
      <c r="DM157" s="19"/>
      <c r="DN157" s="19"/>
      <c r="DO157" s="19"/>
      <c r="DP157" s="19"/>
      <c r="DQ157" s="19"/>
      <c r="DR157" s="19"/>
      <c r="DS157" s="19"/>
      <c r="DT157" s="19"/>
      <c r="DU157" s="19"/>
      <c r="DV157" s="19"/>
      <c r="DW157" s="19"/>
      <c r="DX157" s="19"/>
      <c r="DY157" s="19"/>
      <c r="DZ157" s="19"/>
      <c r="EA157" s="19"/>
      <c r="EB157" s="19"/>
      <c r="EC157" s="19"/>
      <c r="ED157" s="19"/>
      <c r="EE157" s="19"/>
      <c r="EF157" s="19"/>
      <c r="EG157" s="19"/>
      <c r="EH157" s="19"/>
      <c r="EI157" s="19"/>
      <c r="EJ157" s="19"/>
      <c r="EK157" s="19"/>
      <c r="EL157" s="19"/>
      <c r="EM157" s="19"/>
      <c r="EN157" s="19"/>
      <c r="EO157" s="19"/>
      <c r="EP157" s="19"/>
      <c r="EQ157" s="19"/>
      <c r="ER157" s="19"/>
      <c r="ES157" s="19"/>
      <c r="ET157" s="19"/>
      <c r="EU157" s="19"/>
      <c r="EV157" s="19"/>
      <c r="EW157" s="19"/>
      <c r="EX157" s="19"/>
      <c r="EY157" s="19"/>
      <c r="EZ157" s="19"/>
      <c r="FA157" s="19"/>
      <c r="FB157" s="19"/>
      <c r="FC157" s="19"/>
      <c r="FD157" s="19"/>
      <c r="FE157" s="19"/>
      <c r="FF157" s="19"/>
      <c r="FG157" s="19"/>
      <c r="FH157" s="19"/>
      <c r="FI157" s="19"/>
      <c r="FJ157" s="19"/>
      <c r="FK157" s="19"/>
      <c r="FL157" s="19"/>
      <c r="FM157" s="19"/>
      <c r="FN157" s="19"/>
      <c r="FO157" s="19"/>
      <c r="FP157" s="19"/>
      <c r="FQ157" s="19"/>
      <c r="FR157" s="19"/>
      <c r="FS157" s="19"/>
      <c r="FT157" s="19"/>
      <c r="FU157" s="19"/>
      <c r="FV157" s="19"/>
      <c r="FW157" s="19"/>
      <c r="FX157" s="19"/>
      <c r="FY157" s="19"/>
      <c r="FZ157" s="19"/>
      <c r="GA157" s="19"/>
      <c r="GB157" s="19"/>
      <c r="GC157" s="19"/>
      <c r="GD157" s="19"/>
      <c r="GE157" s="19"/>
      <c r="GF157" s="19"/>
      <c r="GG157" s="19"/>
      <c r="GH157" s="19"/>
      <c r="GI157" s="19"/>
      <c r="GJ157" s="19"/>
      <c r="GK157" s="19"/>
      <c r="GL157" s="19"/>
      <c r="GM157" s="19"/>
      <c r="GN157" s="19"/>
      <c r="GO157" s="19"/>
      <c r="GP157" s="19"/>
      <c r="GQ157" s="19"/>
      <c r="GR157" s="19"/>
      <c r="GS157" s="19"/>
      <c r="GT157" s="19"/>
      <c r="GU157" s="19"/>
      <c r="GV157" s="19"/>
      <c r="GW157" s="19"/>
      <c r="GX157" s="19"/>
      <c r="GY157" s="19"/>
      <c r="GZ157" s="19"/>
      <c r="HA157" s="19"/>
      <c r="HB157" s="19"/>
      <c r="HC157" s="19"/>
      <c r="HD157" s="19"/>
      <c r="HE157" s="19"/>
      <c r="HF157" s="19"/>
      <c r="HG157" s="19"/>
      <c r="HH157" s="19"/>
      <c r="HI157" s="19"/>
      <c r="HJ157" s="19"/>
      <c r="HK157" s="19"/>
      <c r="HL157" s="19"/>
      <c r="HM157" s="19"/>
      <c r="HN157" s="19"/>
      <c r="HO157" s="19"/>
      <c r="HP157" s="19"/>
      <c r="HQ157" s="19"/>
      <c r="HR157" s="19"/>
      <c r="HS157" s="19"/>
      <c r="HT157" s="19"/>
      <c r="HU157" s="19"/>
      <c r="HV157" s="19"/>
      <c r="HW157" s="19"/>
      <c r="HX157" s="19"/>
      <c r="HY157" s="19"/>
      <c r="HZ157" s="19"/>
      <c r="IA157" s="19"/>
      <c r="IB157" s="19"/>
      <c r="IC157" s="19"/>
      <c r="ID157" s="19"/>
      <c r="IE157" s="19"/>
      <c r="IF157" s="19"/>
    </row>
    <row r="158" spans="1:240">
      <c r="C158" s="17" t="s">
        <v>34</v>
      </c>
      <c r="D158" s="45" t="s">
        <v>35</v>
      </c>
      <c r="E158" s="30"/>
      <c r="F158" s="43"/>
      <c r="G158" s="43"/>
      <c r="H158" s="36"/>
      <c r="I158" s="36"/>
      <c r="J158" s="36"/>
      <c r="O158" s="19"/>
      <c r="S158" s="157">
        <v>5.0000000000000001E-3</v>
      </c>
      <c r="T158" s="21">
        <v>0.02</v>
      </c>
      <c r="U158" s="21">
        <v>0.05</v>
      </c>
      <c r="V158" s="21">
        <v>0.08</v>
      </c>
      <c r="W158" s="21">
        <v>0.12</v>
      </c>
      <c r="X158" s="21">
        <v>0.23</v>
      </c>
      <c r="Y158" s="21">
        <v>0.43</v>
      </c>
      <c r="Z158" s="21">
        <v>0.72</v>
      </c>
      <c r="AA158" s="21">
        <v>1</v>
      </c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  <c r="BF158" s="19"/>
      <c r="BG158" s="19"/>
      <c r="BH158" s="19"/>
      <c r="BI158" s="19"/>
      <c r="BJ158" s="19"/>
      <c r="BK158" s="19"/>
      <c r="BL158" s="19"/>
      <c r="BM158" s="19"/>
      <c r="BN158" s="19"/>
      <c r="BO158" s="19"/>
      <c r="BP158" s="19"/>
      <c r="BQ158" s="19"/>
      <c r="BR158" s="19"/>
      <c r="BS158" s="19"/>
      <c r="BT158" s="19"/>
      <c r="BU158" s="19"/>
      <c r="BV158" s="19"/>
      <c r="BW158" s="19"/>
      <c r="BX158" s="19"/>
      <c r="BY158" s="19"/>
      <c r="BZ158" s="19"/>
      <c r="CA158" s="19"/>
      <c r="CB158" s="19"/>
      <c r="CC158" s="19"/>
      <c r="CD158" s="19"/>
      <c r="CE158" s="19"/>
      <c r="CF158" s="19"/>
      <c r="CG158" s="19"/>
      <c r="CH158" s="19"/>
      <c r="CI158" s="19"/>
      <c r="CJ158" s="19"/>
      <c r="CK158" s="19"/>
      <c r="CL158" s="19"/>
      <c r="CM158" s="19"/>
      <c r="CN158" s="19"/>
      <c r="CO158" s="19"/>
      <c r="CP158" s="19"/>
      <c r="CQ158" s="19"/>
      <c r="CR158" s="19"/>
      <c r="CS158" s="19"/>
      <c r="CT158" s="19"/>
      <c r="CU158" s="19"/>
      <c r="CV158" s="19"/>
      <c r="CW158" s="19"/>
      <c r="CX158" s="19"/>
      <c r="CY158" s="19"/>
      <c r="CZ158" s="19"/>
      <c r="DA158" s="19"/>
      <c r="DB158" s="19"/>
      <c r="DC158" s="19"/>
      <c r="DD158" s="19"/>
      <c r="DE158" s="19"/>
      <c r="DF158" s="19"/>
      <c r="DG158" s="19"/>
      <c r="DH158" s="19"/>
      <c r="DI158" s="19"/>
      <c r="DJ158" s="19"/>
      <c r="DK158" s="19"/>
      <c r="DL158" s="19"/>
      <c r="DM158" s="19"/>
      <c r="DN158" s="19"/>
      <c r="DO158" s="19"/>
      <c r="DP158" s="19"/>
      <c r="DQ158" s="19"/>
      <c r="DR158" s="19"/>
      <c r="DS158" s="19"/>
      <c r="DT158" s="19"/>
      <c r="DU158" s="19"/>
      <c r="DV158" s="19"/>
      <c r="DW158" s="19"/>
      <c r="DX158" s="19"/>
      <c r="DY158" s="19"/>
      <c r="DZ158" s="19"/>
      <c r="EA158" s="19"/>
      <c r="EB158" s="19"/>
      <c r="EC158" s="19"/>
      <c r="ED158" s="19"/>
      <c r="EE158" s="19"/>
      <c r="EF158" s="19"/>
      <c r="EG158" s="19"/>
      <c r="EH158" s="19"/>
      <c r="EI158" s="19"/>
      <c r="EJ158" s="19"/>
      <c r="EK158" s="19"/>
      <c r="EL158" s="19"/>
      <c r="EM158" s="19"/>
      <c r="EN158" s="19"/>
      <c r="EO158" s="19"/>
      <c r="EP158" s="19"/>
      <c r="EQ158" s="19"/>
      <c r="ER158" s="19"/>
      <c r="ES158" s="19"/>
      <c r="ET158" s="19"/>
      <c r="EU158" s="19"/>
      <c r="EV158" s="19"/>
      <c r="EW158" s="19"/>
      <c r="EX158" s="19"/>
      <c r="EY158" s="19"/>
      <c r="EZ158" s="19"/>
      <c r="FA158" s="19"/>
      <c r="FB158" s="19"/>
      <c r="FC158" s="19"/>
      <c r="FD158" s="19"/>
      <c r="FE158" s="19"/>
      <c r="FF158" s="19"/>
      <c r="FG158" s="19"/>
      <c r="FH158" s="19"/>
      <c r="FI158" s="19"/>
      <c r="FJ158" s="19"/>
      <c r="FK158" s="19"/>
      <c r="FL158" s="19"/>
      <c r="FM158" s="19"/>
      <c r="FN158" s="19"/>
      <c r="FO158" s="19"/>
      <c r="FP158" s="19"/>
      <c r="FQ158" s="19"/>
      <c r="FR158" s="19"/>
      <c r="FS158" s="19"/>
      <c r="FT158" s="19"/>
      <c r="FU158" s="19"/>
      <c r="FV158" s="19"/>
      <c r="FW158" s="19"/>
      <c r="FX158" s="19"/>
      <c r="FY158" s="19"/>
      <c r="FZ158" s="19"/>
      <c r="GA158" s="19"/>
      <c r="GB158" s="19"/>
      <c r="GC158" s="19"/>
      <c r="GD158" s="19"/>
      <c r="GE158" s="19"/>
      <c r="GF158" s="19"/>
      <c r="GG158" s="19"/>
      <c r="GH158" s="19"/>
      <c r="GI158" s="19"/>
      <c r="GJ158" s="19"/>
      <c r="GK158" s="19"/>
      <c r="GL158" s="19"/>
      <c r="GM158" s="19"/>
      <c r="GN158" s="19"/>
      <c r="GO158" s="19"/>
      <c r="GP158" s="19"/>
      <c r="GQ158" s="19"/>
      <c r="GR158" s="19"/>
      <c r="GS158" s="19"/>
      <c r="GT158" s="19"/>
      <c r="GU158" s="19"/>
      <c r="GV158" s="19"/>
      <c r="GW158" s="19"/>
      <c r="GX158" s="19"/>
      <c r="GY158" s="19"/>
      <c r="GZ158" s="19"/>
      <c r="HA158" s="19"/>
      <c r="HB158" s="19"/>
      <c r="HC158" s="19"/>
      <c r="HD158" s="19"/>
      <c r="HE158" s="19"/>
      <c r="HF158" s="19"/>
      <c r="HG158" s="19"/>
      <c r="HH158" s="19"/>
      <c r="HI158" s="19"/>
      <c r="HJ158" s="19"/>
      <c r="HK158" s="19"/>
      <c r="HL158" s="19"/>
      <c r="HM158" s="19"/>
      <c r="HN158" s="19"/>
      <c r="HO158" s="19"/>
      <c r="HP158" s="19"/>
      <c r="HQ158" s="19"/>
      <c r="HR158" s="19"/>
      <c r="HS158" s="19"/>
      <c r="HT158" s="19"/>
      <c r="HU158" s="19"/>
      <c r="HV158" s="19"/>
      <c r="HW158" s="19"/>
      <c r="HX158" s="19"/>
      <c r="HY158" s="19"/>
      <c r="HZ158" s="19"/>
      <c r="IA158" s="19"/>
      <c r="IB158" s="19"/>
      <c r="IC158" s="19"/>
      <c r="ID158" s="19"/>
      <c r="IE158" s="19"/>
      <c r="IF158" s="19"/>
    </row>
    <row r="159" spans="1:240">
      <c r="C159" s="17" t="s">
        <v>36</v>
      </c>
      <c r="D159" s="45" t="s">
        <v>37</v>
      </c>
      <c r="E159" s="30"/>
      <c r="F159" s="43"/>
      <c r="G159" s="43"/>
      <c r="H159" s="36"/>
      <c r="I159" s="36"/>
      <c r="J159" s="36"/>
      <c r="O159" s="19"/>
      <c r="S159" s="157">
        <v>0.01</v>
      </c>
      <c r="T159" s="21">
        <v>0.03</v>
      </c>
      <c r="U159" s="21">
        <v>7.0000000000000007E-2</v>
      </c>
      <c r="V159" s="21">
        <v>0.11</v>
      </c>
      <c r="W159" s="21">
        <v>0.15</v>
      </c>
      <c r="X159" s="21">
        <v>0.27</v>
      </c>
      <c r="Y159" s="21">
        <v>0.47</v>
      </c>
      <c r="Z159" s="21">
        <v>0.74</v>
      </c>
      <c r="AA159" s="21">
        <v>1</v>
      </c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  <c r="BF159" s="19"/>
      <c r="BG159" s="19"/>
      <c r="BH159" s="19"/>
      <c r="BI159" s="19"/>
      <c r="BJ159" s="19"/>
      <c r="BK159" s="19"/>
      <c r="BL159" s="19"/>
      <c r="BM159" s="19"/>
      <c r="BN159" s="19"/>
      <c r="BO159" s="19"/>
      <c r="BP159" s="19"/>
      <c r="BQ159" s="19"/>
      <c r="BR159" s="19"/>
      <c r="BS159" s="19"/>
      <c r="BT159" s="19"/>
      <c r="BU159" s="19"/>
      <c r="BV159" s="19"/>
      <c r="BW159" s="19"/>
      <c r="BX159" s="19"/>
      <c r="BY159" s="19"/>
      <c r="BZ159" s="19"/>
      <c r="CA159" s="19"/>
      <c r="CB159" s="19"/>
      <c r="CC159" s="19"/>
      <c r="CD159" s="19"/>
      <c r="CE159" s="19"/>
      <c r="CF159" s="19"/>
      <c r="CG159" s="19"/>
      <c r="CH159" s="19"/>
      <c r="CI159" s="19"/>
      <c r="CJ159" s="19"/>
      <c r="CK159" s="19"/>
      <c r="CL159" s="19"/>
      <c r="CM159" s="19"/>
      <c r="CN159" s="19"/>
      <c r="CO159" s="19"/>
      <c r="CP159" s="19"/>
      <c r="CQ159" s="19"/>
      <c r="CR159" s="19"/>
      <c r="CS159" s="19"/>
      <c r="CT159" s="19"/>
      <c r="CU159" s="19"/>
      <c r="CV159" s="19"/>
      <c r="CW159" s="19"/>
      <c r="CX159" s="19"/>
      <c r="CY159" s="19"/>
      <c r="CZ159" s="19"/>
      <c r="DA159" s="19"/>
      <c r="DB159" s="19"/>
      <c r="DC159" s="19"/>
      <c r="DD159" s="19"/>
      <c r="DE159" s="19"/>
      <c r="DF159" s="19"/>
      <c r="DG159" s="19"/>
      <c r="DH159" s="19"/>
      <c r="DI159" s="19"/>
      <c r="DJ159" s="19"/>
      <c r="DK159" s="19"/>
      <c r="DL159" s="19"/>
      <c r="DM159" s="19"/>
      <c r="DN159" s="19"/>
      <c r="DO159" s="19"/>
      <c r="DP159" s="19"/>
      <c r="DQ159" s="19"/>
      <c r="DR159" s="19"/>
      <c r="DS159" s="19"/>
      <c r="DT159" s="19"/>
      <c r="DU159" s="19"/>
      <c r="DV159" s="19"/>
      <c r="DW159" s="19"/>
      <c r="DX159" s="19"/>
      <c r="DY159" s="19"/>
      <c r="DZ159" s="19"/>
      <c r="EA159" s="19"/>
      <c r="EB159" s="19"/>
      <c r="EC159" s="19"/>
      <c r="ED159" s="19"/>
      <c r="EE159" s="19"/>
      <c r="EF159" s="19"/>
      <c r="EG159" s="19"/>
      <c r="EH159" s="19"/>
      <c r="EI159" s="19"/>
      <c r="EJ159" s="19"/>
      <c r="EK159" s="19"/>
      <c r="EL159" s="19"/>
      <c r="EM159" s="19"/>
      <c r="EN159" s="19"/>
      <c r="EO159" s="19"/>
      <c r="EP159" s="19"/>
      <c r="EQ159" s="19"/>
      <c r="ER159" s="19"/>
      <c r="ES159" s="19"/>
      <c r="ET159" s="19"/>
      <c r="EU159" s="19"/>
      <c r="EV159" s="19"/>
      <c r="EW159" s="19"/>
      <c r="EX159" s="19"/>
      <c r="EY159" s="19"/>
      <c r="EZ159" s="19"/>
      <c r="FA159" s="19"/>
      <c r="FB159" s="19"/>
      <c r="FC159" s="19"/>
      <c r="FD159" s="19"/>
      <c r="FE159" s="19"/>
      <c r="FF159" s="19"/>
      <c r="FG159" s="19"/>
      <c r="FH159" s="19"/>
      <c r="FI159" s="19"/>
      <c r="FJ159" s="19"/>
      <c r="FK159" s="19"/>
      <c r="FL159" s="19"/>
      <c r="FM159" s="19"/>
      <c r="FN159" s="19"/>
      <c r="FO159" s="19"/>
      <c r="FP159" s="19"/>
      <c r="FQ159" s="19"/>
      <c r="FR159" s="19"/>
      <c r="FS159" s="19"/>
      <c r="FT159" s="19"/>
      <c r="FU159" s="19"/>
      <c r="FV159" s="19"/>
      <c r="FW159" s="19"/>
      <c r="FX159" s="19"/>
      <c r="FY159" s="19"/>
      <c r="FZ159" s="19"/>
      <c r="GA159" s="19"/>
      <c r="GB159" s="19"/>
      <c r="GC159" s="19"/>
      <c r="GD159" s="19"/>
      <c r="GE159" s="19"/>
      <c r="GF159" s="19"/>
      <c r="GG159" s="19"/>
      <c r="GH159" s="19"/>
      <c r="GI159" s="19"/>
      <c r="GJ159" s="19"/>
      <c r="GK159" s="19"/>
      <c r="GL159" s="19"/>
      <c r="GM159" s="19"/>
      <c r="GN159" s="19"/>
      <c r="GO159" s="19"/>
      <c r="GP159" s="19"/>
      <c r="GQ159" s="19"/>
      <c r="GR159" s="19"/>
      <c r="GS159" s="19"/>
      <c r="GT159" s="19"/>
      <c r="GU159" s="19"/>
      <c r="GV159" s="19"/>
      <c r="GW159" s="19"/>
      <c r="GX159" s="19"/>
      <c r="GY159" s="19"/>
      <c r="GZ159" s="19"/>
      <c r="HA159" s="19"/>
      <c r="HB159" s="19"/>
      <c r="HC159" s="19"/>
      <c r="HD159" s="19"/>
      <c r="HE159" s="19"/>
      <c r="HF159" s="19"/>
      <c r="HG159" s="19"/>
      <c r="HH159" s="19"/>
      <c r="HI159" s="19"/>
      <c r="HJ159" s="19"/>
      <c r="HK159" s="19"/>
      <c r="HL159" s="19"/>
      <c r="HM159" s="19"/>
      <c r="HN159" s="19"/>
      <c r="HO159" s="19"/>
      <c r="HP159" s="19"/>
      <c r="HQ159" s="19"/>
      <c r="HR159" s="19"/>
      <c r="HS159" s="19"/>
      <c r="HT159" s="19"/>
      <c r="HU159" s="19"/>
      <c r="HV159" s="19"/>
      <c r="HW159" s="19"/>
      <c r="HX159" s="19"/>
      <c r="HY159" s="19"/>
      <c r="HZ159" s="19"/>
      <c r="IA159" s="19"/>
      <c r="IB159" s="19"/>
      <c r="IC159" s="19"/>
      <c r="ID159" s="19"/>
      <c r="IE159" s="19"/>
      <c r="IF159" s="19"/>
    </row>
    <row r="160" spans="1:240" ht="13.5">
      <c r="C160" s="17" t="s">
        <v>38</v>
      </c>
      <c r="D160" s="45" t="s">
        <v>103</v>
      </c>
      <c r="E160" s="30"/>
      <c r="F160" s="43"/>
      <c r="G160" s="43"/>
      <c r="H160" s="36"/>
      <c r="I160" s="36"/>
      <c r="J160" s="36"/>
      <c r="O160" s="19"/>
      <c r="S160" s="157">
        <v>0.02</v>
      </c>
      <c r="T160" s="21">
        <v>0.05</v>
      </c>
      <c r="U160" s="21">
        <v>0.1</v>
      </c>
      <c r="V160" s="21">
        <v>0.15</v>
      </c>
      <c r="W160" s="21">
        <v>0.2</v>
      </c>
      <c r="X160" s="21">
        <v>0.32</v>
      </c>
      <c r="Y160" s="21">
        <v>0.52</v>
      </c>
      <c r="Z160" s="21">
        <v>0.77</v>
      </c>
      <c r="AA160" s="21">
        <v>1</v>
      </c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  <c r="BF160" s="19"/>
      <c r="BG160" s="19"/>
      <c r="BH160" s="19"/>
      <c r="BI160" s="19"/>
      <c r="BJ160" s="19"/>
      <c r="BK160" s="19"/>
      <c r="BL160" s="19"/>
      <c r="BM160" s="19"/>
      <c r="BN160" s="19"/>
      <c r="BO160" s="19"/>
      <c r="BP160" s="19"/>
      <c r="BQ160" s="19"/>
      <c r="BR160" s="19"/>
      <c r="BS160" s="19"/>
      <c r="BT160" s="19"/>
      <c r="BU160" s="19"/>
      <c r="BV160" s="19"/>
      <c r="BW160" s="19"/>
      <c r="BX160" s="19"/>
      <c r="BY160" s="19"/>
      <c r="BZ160" s="19"/>
      <c r="CA160" s="19"/>
      <c r="CB160" s="19"/>
      <c r="CC160" s="19"/>
      <c r="CD160" s="19"/>
      <c r="CE160" s="19"/>
      <c r="CF160" s="19"/>
      <c r="CG160" s="19"/>
      <c r="CH160" s="19"/>
      <c r="CI160" s="19"/>
      <c r="CJ160" s="19"/>
      <c r="CK160" s="19"/>
      <c r="CL160" s="19"/>
      <c r="CM160" s="19"/>
      <c r="CN160" s="19"/>
      <c r="CO160" s="19"/>
      <c r="CP160" s="19"/>
      <c r="CQ160" s="19"/>
      <c r="CR160" s="19"/>
      <c r="CS160" s="19"/>
      <c r="CT160" s="19"/>
      <c r="CU160" s="19"/>
      <c r="CV160" s="19"/>
      <c r="CW160" s="19"/>
      <c r="CX160" s="19"/>
      <c r="CY160" s="19"/>
      <c r="CZ160" s="19"/>
      <c r="DA160" s="19"/>
      <c r="DB160" s="19"/>
      <c r="DC160" s="19"/>
      <c r="DD160" s="19"/>
      <c r="DE160" s="19"/>
      <c r="DF160" s="19"/>
      <c r="DG160" s="19"/>
      <c r="DH160" s="19"/>
      <c r="DI160" s="19"/>
      <c r="DJ160" s="19"/>
      <c r="DK160" s="19"/>
      <c r="DL160" s="19"/>
      <c r="DM160" s="19"/>
      <c r="DN160" s="19"/>
      <c r="DO160" s="19"/>
      <c r="DP160" s="19"/>
      <c r="DQ160" s="19"/>
      <c r="DR160" s="19"/>
      <c r="DS160" s="19"/>
      <c r="DT160" s="19"/>
      <c r="DU160" s="19"/>
      <c r="DV160" s="19"/>
      <c r="DW160" s="19"/>
      <c r="DX160" s="19"/>
      <c r="DY160" s="19"/>
      <c r="DZ160" s="19"/>
      <c r="EA160" s="19"/>
      <c r="EB160" s="19"/>
      <c r="EC160" s="19"/>
      <c r="ED160" s="19"/>
      <c r="EE160" s="19"/>
      <c r="EF160" s="19"/>
      <c r="EG160" s="19"/>
      <c r="EH160" s="19"/>
      <c r="EI160" s="19"/>
      <c r="EJ160" s="19"/>
      <c r="EK160" s="19"/>
      <c r="EL160" s="19"/>
      <c r="EM160" s="19"/>
      <c r="EN160" s="19"/>
      <c r="EO160" s="19"/>
      <c r="EP160" s="19"/>
      <c r="EQ160" s="19"/>
      <c r="ER160" s="19"/>
      <c r="ES160" s="19"/>
      <c r="ET160" s="19"/>
      <c r="EU160" s="19"/>
      <c r="EV160" s="19"/>
      <c r="EW160" s="19"/>
      <c r="EX160" s="19"/>
      <c r="EY160" s="19"/>
      <c r="EZ160" s="19"/>
      <c r="FA160" s="19"/>
      <c r="FB160" s="19"/>
      <c r="FC160" s="19"/>
      <c r="FD160" s="19"/>
      <c r="FE160" s="19"/>
      <c r="FF160" s="19"/>
      <c r="FG160" s="19"/>
      <c r="FH160" s="19"/>
      <c r="FI160" s="19"/>
      <c r="FJ160" s="19"/>
      <c r="FK160" s="19"/>
      <c r="FL160" s="19"/>
      <c r="FM160" s="19"/>
      <c r="FN160" s="19"/>
      <c r="FO160" s="19"/>
      <c r="FP160" s="19"/>
      <c r="FQ160" s="19"/>
      <c r="FR160" s="19"/>
      <c r="FS160" s="19"/>
      <c r="FT160" s="19"/>
      <c r="FU160" s="19"/>
      <c r="FV160" s="19"/>
      <c r="FW160" s="19"/>
      <c r="FX160" s="19"/>
      <c r="FY160" s="19"/>
      <c r="FZ160" s="19"/>
      <c r="GA160" s="19"/>
      <c r="GB160" s="19"/>
      <c r="GC160" s="19"/>
      <c r="GD160" s="19"/>
      <c r="GE160" s="19"/>
      <c r="GF160" s="19"/>
      <c r="GG160" s="19"/>
      <c r="GH160" s="19"/>
      <c r="GI160" s="19"/>
      <c r="GJ160" s="19"/>
      <c r="GK160" s="19"/>
      <c r="GL160" s="19"/>
      <c r="GM160" s="19"/>
      <c r="GN160" s="19"/>
      <c r="GO160" s="19"/>
      <c r="GP160" s="19"/>
      <c r="GQ160" s="19"/>
      <c r="GR160" s="19"/>
      <c r="GS160" s="19"/>
      <c r="GT160" s="19"/>
      <c r="GU160" s="19"/>
      <c r="GV160" s="19"/>
      <c r="GW160" s="19"/>
      <c r="GX160" s="19"/>
      <c r="GY160" s="19"/>
      <c r="GZ160" s="19"/>
      <c r="HA160" s="19"/>
      <c r="HB160" s="19"/>
      <c r="HC160" s="19"/>
      <c r="HD160" s="19"/>
      <c r="HE160" s="19"/>
      <c r="HF160" s="19"/>
      <c r="HG160" s="19"/>
      <c r="HH160" s="19"/>
      <c r="HI160" s="19"/>
      <c r="HJ160" s="19"/>
      <c r="HK160" s="19"/>
      <c r="HL160" s="19"/>
      <c r="HM160" s="19"/>
      <c r="HN160" s="19"/>
      <c r="HO160" s="19"/>
      <c r="HP160" s="19"/>
      <c r="HQ160" s="19"/>
      <c r="HR160" s="19"/>
      <c r="HS160" s="19"/>
      <c r="HT160" s="19"/>
      <c r="HU160" s="19"/>
      <c r="HV160" s="19"/>
      <c r="HW160" s="19"/>
      <c r="HX160" s="19"/>
      <c r="HY160" s="19"/>
      <c r="HZ160" s="19"/>
      <c r="IA160" s="19"/>
      <c r="IB160" s="19"/>
      <c r="IC160" s="19"/>
      <c r="ID160" s="19"/>
      <c r="IE160" s="19"/>
    </row>
    <row r="161" spans="1:240">
      <c r="C161" s="17" t="s">
        <v>39</v>
      </c>
      <c r="D161" s="45" t="s">
        <v>40</v>
      </c>
      <c r="E161" s="30"/>
      <c r="F161" s="43"/>
      <c r="G161" s="43"/>
      <c r="H161" s="36"/>
      <c r="I161" s="36"/>
      <c r="J161" s="36"/>
      <c r="O161" s="19"/>
      <c r="S161" s="157">
        <v>0.05</v>
      </c>
      <c r="T161" s="21">
        <v>0.1</v>
      </c>
      <c r="U161" s="21">
        <v>0.15</v>
      </c>
      <c r="V161" s="21">
        <v>0.2</v>
      </c>
      <c r="W161" s="21">
        <v>0.27</v>
      </c>
      <c r="X161" s="21">
        <v>0.38</v>
      </c>
      <c r="Y161" s="21">
        <v>0.57999999999999996</v>
      </c>
      <c r="Z161" s="21">
        <v>0.8</v>
      </c>
      <c r="AA161" s="21">
        <v>1</v>
      </c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  <c r="BH161" s="19"/>
      <c r="BI161" s="19"/>
      <c r="BJ161" s="19"/>
      <c r="BK161" s="19"/>
      <c r="BL161" s="19"/>
      <c r="BM161" s="19"/>
      <c r="BN161" s="19"/>
      <c r="BO161" s="19"/>
      <c r="BP161" s="19"/>
      <c r="BQ161" s="19"/>
      <c r="BR161" s="19"/>
      <c r="BS161" s="19"/>
      <c r="BT161" s="19"/>
      <c r="BU161" s="19"/>
      <c r="BV161" s="19"/>
      <c r="BW161" s="19"/>
      <c r="BX161" s="19"/>
      <c r="BY161" s="19"/>
      <c r="BZ161" s="19"/>
      <c r="CA161" s="19"/>
      <c r="CB161" s="19"/>
      <c r="CC161" s="19"/>
      <c r="CD161" s="19"/>
      <c r="CE161" s="19"/>
      <c r="CF161" s="19"/>
      <c r="CG161" s="19"/>
      <c r="CH161" s="19"/>
      <c r="CI161" s="19"/>
      <c r="CJ161" s="19"/>
      <c r="CK161" s="19"/>
      <c r="CL161" s="19"/>
      <c r="CM161" s="19"/>
      <c r="CN161" s="19"/>
      <c r="CO161" s="19"/>
      <c r="CP161" s="19"/>
      <c r="CQ161" s="19"/>
      <c r="CR161" s="19"/>
      <c r="CS161" s="19"/>
      <c r="CT161" s="19"/>
      <c r="CU161" s="19"/>
      <c r="CV161" s="19"/>
      <c r="CW161" s="19"/>
      <c r="CX161" s="19"/>
      <c r="CY161" s="19"/>
      <c r="CZ161" s="19"/>
      <c r="DA161" s="19"/>
      <c r="DB161" s="19"/>
      <c r="DC161" s="19"/>
      <c r="DD161" s="19"/>
      <c r="DE161" s="19"/>
      <c r="DF161" s="19"/>
      <c r="DG161" s="19"/>
      <c r="DH161" s="19"/>
      <c r="DI161" s="19"/>
      <c r="DJ161" s="19"/>
      <c r="DK161" s="19"/>
      <c r="DL161" s="19"/>
      <c r="DM161" s="19"/>
      <c r="DN161" s="19"/>
      <c r="DO161" s="19"/>
      <c r="DP161" s="19"/>
      <c r="DQ161" s="19"/>
      <c r="DR161" s="19"/>
      <c r="DS161" s="19"/>
      <c r="DT161" s="19"/>
      <c r="DU161" s="19"/>
      <c r="DV161" s="19"/>
      <c r="DW161" s="19"/>
      <c r="DX161" s="19"/>
      <c r="DY161" s="19"/>
      <c r="DZ161" s="19"/>
      <c r="EA161" s="19"/>
      <c r="EB161" s="19"/>
      <c r="EC161" s="19"/>
      <c r="ED161" s="19"/>
      <c r="EE161" s="19"/>
      <c r="EF161" s="19"/>
      <c r="EG161" s="19"/>
      <c r="EH161" s="19"/>
      <c r="EI161" s="19"/>
      <c r="EJ161" s="19"/>
      <c r="EK161" s="19"/>
      <c r="EL161" s="19"/>
      <c r="EM161" s="19"/>
      <c r="EN161" s="19"/>
      <c r="EO161" s="19"/>
      <c r="EP161" s="19"/>
      <c r="EQ161" s="19"/>
      <c r="ER161" s="19"/>
      <c r="ES161" s="19"/>
      <c r="ET161" s="19"/>
      <c r="EU161" s="19"/>
      <c r="EV161" s="19"/>
      <c r="EW161" s="19"/>
      <c r="EX161" s="19"/>
      <c r="EY161" s="19"/>
      <c r="EZ161" s="19"/>
      <c r="FA161" s="19"/>
      <c r="FB161" s="19"/>
      <c r="FC161" s="19"/>
      <c r="FD161" s="19"/>
      <c r="FE161" s="19"/>
      <c r="FF161" s="19"/>
      <c r="FG161" s="19"/>
      <c r="FH161" s="19"/>
      <c r="FI161" s="19"/>
      <c r="FJ161" s="19"/>
      <c r="FK161" s="19"/>
      <c r="FL161" s="19"/>
      <c r="FM161" s="19"/>
      <c r="FN161" s="19"/>
      <c r="FO161" s="19"/>
      <c r="FP161" s="19"/>
      <c r="FQ161" s="19"/>
      <c r="FR161" s="19"/>
      <c r="FS161" s="19"/>
      <c r="FT161" s="19"/>
      <c r="FU161" s="19"/>
      <c r="FV161" s="19"/>
      <c r="FW161" s="19"/>
      <c r="FX161" s="19"/>
      <c r="FY161" s="19"/>
      <c r="FZ161" s="19"/>
      <c r="GA161" s="19"/>
      <c r="GB161" s="19"/>
      <c r="GC161" s="19"/>
      <c r="GD161" s="19"/>
      <c r="GE161" s="19"/>
      <c r="GF161" s="19"/>
      <c r="GG161" s="19"/>
      <c r="GH161" s="19"/>
      <c r="GI161" s="19"/>
      <c r="GJ161" s="19"/>
      <c r="GK161" s="19"/>
      <c r="GL161" s="19"/>
      <c r="GM161" s="19"/>
      <c r="GN161" s="19"/>
      <c r="GO161" s="19"/>
      <c r="GP161" s="19"/>
      <c r="GQ161" s="19"/>
      <c r="GR161" s="19"/>
      <c r="GS161" s="19"/>
      <c r="GT161" s="19"/>
      <c r="GU161" s="19"/>
      <c r="GV161" s="19"/>
      <c r="GW161" s="19"/>
      <c r="GX161" s="19"/>
      <c r="GY161" s="19"/>
      <c r="GZ161" s="19"/>
      <c r="HA161" s="19"/>
      <c r="HB161" s="19"/>
      <c r="HC161" s="19"/>
      <c r="HD161" s="19"/>
      <c r="HE161" s="19"/>
      <c r="HF161" s="19"/>
      <c r="HG161" s="19"/>
      <c r="HH161" s="19"/>
      <c r="HI161" s="19"/>
      <c r="HJ161" s="19"/>
      <c r="HK161" s="19"/>
      <c r="HL161" s="19"/>
      <c r="HM161" s="19"/>
      <c r="HN161" s="19"/>
      <c r="HO161" s="19"/>
      <c r="HP161" s="19"/>
      <c r="HQ161" s="19"/>
      <c r="HR161" s="19"/>
      <c r="HS161" s="19"/>
      <c r="HT161" s="19"/>
      <c r="HU161" s="19"/>
      <c r="HV161" s="19"/>
      <c r="HW161" s="19"/>
      <c r="HX161" s="19"/>
      <c r="HY161" s="19"/>
      <c r="HZ161" s="19"/>
      <c r="IA161" s="19"/>
      <c r="IB161" s="19"/>
      <c r="IC161" s="19"/>
      <c r="ID161" s="19"/>
      <c r="IE161" s="19"/>
      <c r="IF161" s="19"/>
    </row>
    <row r="162" spans="1:240">
      <c r="D162" s="45" t="s">
        <v>199</v>
      </c>
      <c r="E162" s="30"/>
      <c r="F162" s="43"/>
      <c r="G162" s="43"/>
      <c r="H162" s="36"/>
      <c r="I162" s="36"/>
      <c r="J162" s="36"/>
      <c r="O162" s="19"/>
      <c r="S162" s="115">
        <v>0.1</v>
      </c>
      <c r="T162" s="21">
        <v>0.15</v>
      </c>
      <c r="U162" s="21">
        <v>0.2</v>
      </c>
      <c r="V162" s="21">
        <v>0.27</v>
      </c>
      <c r="W162" s="21">
        <v>0.35</v>
      </c>
      <c r="X162" s="21">
        <v>0.46</v>
      </c>
      <c r="Y162" s="21">
        <v>0.65</v>
      </c>
      <c r="Z162" s="21">
        <v>0.84</v>
      </c>
      <c r="AA162" s="21">
        <v>1</v>
      </c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  <c r="BP162" s="19"/>
      <c r="BQ162" s="19"/>
      <c r="BR162" s="19"/>
      <c r="BS162" s="19"/>
      <c r="BT162" s="19"/>
      <c r="BU162" s="19"/>
      <c r="BV162" s="19"/>
      <c r="BW162" s="19"/>
      <c r="BX162" s="19"/>
      <c r="BY162" s="19"/>
      <c r="BZ162" s="19"/>
      <c r="CA162" s="19"/>
      <c r="CB162" s="19"/>
      <c r="CC162" s="19"/>
      <c r="CD162" s="19"/>
      <c r="CE162" s="19"/>
      <c r="CF162" s="19"/>
      <c r="CG162" s="19"/>
      <c r="CH162" s="19"/>
      <c r="CI162" s="19"/>
      <c r="CJ162" s="19"/>
      <c r="CK162" s="19"/>
      <c r="CL162" s="19"/>
      <c r="CM162" s="19"/>
      <c r="CN162" s="19"/>
      <c r="CO162" s="19"/>
      <c r="CP162" s="19"/>
      <c r="CQ162" s="19"/>
      <c r="CR162" s="19"/>
      <c r="CS162" s="19"/>
      <c r="CT162" s="19"/>
      <c r="CU162" s="19"/>
      <c r="CV162" s="19"/>
      <c r="CW162" s="19"/>
      <c r="CX162" s="19"/>
      <c r="CY162" s="19"/>
      <c r="CZ162" s="19"/>
      <c r="DA162" s="19"/>
      <c r="DB162" s="19"/>
      <c r="DC162" s="19"/>
      <c r="DD162" s="19"/>
      <c r="DE162" s="19"/>
      <c r="DF162" s="19"/>
      <c r="DG162" s="19"/>
      <c r="DH162" s="19"/>
      <c r="DI162" s="19"/>
      <c r="DJ162" s="19"/>
      <c r="DK162" s="19"/>
      <c r="DL162" s="19"/>
      <c r="DM162" s="19"/>
      <c r="DN162" s="19"/>
      <c r="DO162" s="19"/>
      <c r="DP162" s="19"/>
      <c r="DQ162" s="19"/>
      <c r="DR162" s="19"/>
      <c r="DS162" s="19"/>
      <c r="DT162" s="19"/>
      <c r="DU162" s="19"/>
      <c r="DV162" s="19"/>
      <c r="DW162" s="19"/>
      <c r="DX162" s="19"/>
      <c r="DY162" s="19"/>
      <c r="DZ162" s="19"/>
      <c r="EA162" s="19"/>
      <c r="EB162" s="19"/>
      <c r="EC162" s="19"/>
      <c r="ED162" s="19"/>
      <c r="EE162" s="19"/>
      <c r="EF162" s="19"/>
      <c r="EG162" s="19"/>
      <c r="EH162" s="19"/>
      <c r="EI162" s="19"/>
      <c r="EJ162" s="19"/>
      <c r="EK162" s="19"/>
      <c r="EL162" s="19"/>
      <c r="EM162" s="19"/>
      <c r="EN162" s="19"/>
      <c r="EO162" s="19"/>
      <c r="EP162" s="19"/>
      <c r="EQ162" s="19"/>
      <c r="ER162" s="19"/>
      <c r="ES162" s="19"/>
      <c r="ET162" s="19"/>
      <c r="EU162" s="19"/>
      <c r="EV162" s="19"/>
      <c r="EW162" s="19"/>
      <c r="EX162" s="19"/>
      <c r="EY162" s="19"/>
      <c r="EZ162" s="19"/>
      <c r="FA162" s="19"/>
      <c r="FB162" s="19"/>
      <c r="FC162" s="19"/>
      <c r="FD162" s="19"/>
      <c r="FE162" s="19"/>
      <c r="FF162" s="19"/>
      <c r="FG162" s="19"/>
      <c r="FH162" s="19"/>
      <c r="FI162" s="19"/>
      <c r="FJ162" s="19"/>
      <c r="FK162" s="19"/>
      <c r="FL162" s="19"/>
      <c r="FM162" s="19"/>
      <c r="FN162" s="19"/>
      <c r="FO162" s="19"/>
      <c r="FP162" s="19"/>
      <c r="FQ162" s="19"/>
      <c r="FR162" s="19"/>
      <c r="FS162" s="19"/>
      <c r="FT162" s="19"/>
      <c r="FU162" s="19"/>
      <c r="FV162" s="19"/>
      <c r="FW162" s="19"/>
      <c r="FX162" s="19"/>
      <c r="FY162" s="19"/>
      <c r="FZ162" s="19"/>
      <c r="GA162" s="19"/>
      <c r="GB162" s="19"/>
      <c r="GC162" s="19"/>
      <c r="GD162" s="19"/>
      <c r="GE162" s="19"/>
      <c r="GF162" s="19"/>
      <c r="GG162" s="19"/>
      <c r="GH162" s="19"/>
      <c r="GI162" s="19"/>
      <c r="GJ162" s="19"/>
      <c r="GK162" s="19"/>
      <c r="GL162" s="19"/>
      <c r="GM162" s="19"/>
      <c r="GN162" s="19"/>
      <c r="GO162" s="19"/>
      <c r="GP162" s="19"/>
      <c r="GQ162" s="19"/>
      <c r="GR162" s="19"/>
      <c r="GS162" s="19"/>
      <c r="GT162" s="19"/>
      <c r="GU162" s="19"/>
      <c r="GV162" s="19"/>
      <c r="GW162" s="19"/>
      <c r="GX162" s="19"/>
      <c r="GY162" s="19"/>
      <c r="GZ162" s="19"/>
      <c r="HA162" s="19"/>
      <c r="HB162" s="19"/>
      <c r="HC162" s="19"/>
      <c r="HD162" s="19"/>
      <c r="HE162" s="19"/>
      <c r="HF162" s="19"/>
      <c r="HG162" s="19"/>
      <c r="HH162" s="19"/>
      <c r="HI162" s="19"/>
      <c r="HJ162" s="19"/>
      <c r="HK162" s="19"/>
      <c r="HL162" s="19"/>
      <c r="HM162" s="19"/>
      <c r="HN162" s="19"/>
      <c r="HO162" s="19"/>
      <c r="HP162" s="19"/>
      <c r="HQ162" s="19"/>
      <c r="HR162" s="19"/>
      <c r="HS162" s="19"/>
      <c r="HT162" s="19"/>
      <c r="HU162" s="19"/>
      <c r="HV162" s="19"/>
      <c r="HW162" s="19"/>
      <c r="HX162" s="19"/>
      <c r="HY162" s="19"/>
      <c r="HZ162" s="19"/>
      <c r="IA162" s="19"/>
      <c r="IB162" s="19"/>
      <c r="IC162" s="19"/>
      <c r="ID162" s="19"/>
      <c r="IE162" s="19"/>
      <c r="IF162" s="19"/>
    </row>
    <row r="163" spans="1:240">
      <c r="D163" s="45" t="s">
        <v>200</v>
      </c>
      <c r="E163" s="30"/>
      <c r="F163" s="43"/>
      <c r="G163" s="43"/>
      <c r="H163" s="36"/>
      <c r="I163" s="36"/>
      <c r="J163" s="36"/>
      <c r="O163" s="19"/>
      <c r="S163" s="115">
        <v>0.2</v>
      </c>
      <c r="T163" s="21">
        <v>0.25</v>
      </c>
      <c r="U163" s="21">
        <v>0.3</v>
      </c>
      <c r="V163" s="21">
        <v>0.38</v>
      </c>
      <c r="W163" s="21">
        <v>0.47</v>
      </c>
      <c r="X163" s="21">
        <v>0.57999999999999996</v>
      </c>
      <c r="Y163" s="21">
        <v>0.75</v>
      </c>
      <c r="Z163" s="21">
        <v>0.88</v>
      </c>
      <c r="AA163" s="21">
        <v>1</v>
      </c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19"/>
      <c r="BP163" s="19"/>
      <c r="BQ163" s="19"/>
      <c r="BR163" s="19"/>
      <c r="BS163" s="19"/>
      <c r="BT163" s="19"/>
      <c r="BU163" s="19"/>
      <c r="BV163" s="19"/>
      <c r="BW163" s="19"/>
      <c r="BX163" s="19"/>
      <c r="BY163" s="19"/>
      <c r="BZ163" s="19"/>
      <c r="CA163" s="19"/>
      <c r="CB163" s="19"/>
      <c r="CC163" s="19"/>
      <c r="CD163" s="19"/>
      <c r="CE163" s="19"/>
      <c r="CF163" s="19"/>
      <c r="CG163" s="19"/>
      <c r="CH163" s="19"/>
      <c r="CI163" s="19"/>
      <c r="CJ163" s="19"/>
      <c r="CK163" s="19"/>
      <c r="CL163" s="19"/>
      <c r="CM163" s="19"/>
      <c r="CN163" s="19"/>
      <c r="CO163" s="19"/>
      <c r="CP163" s="19"/>
      <c r="CQ163" s="19"/>
      <c r="CR163" s="19"/>
      <c r="CS163" s="19"/>
      <c r="CT163" s="19"/>
      <c r="CU163" s="19"/>
      <c r="CV163" s="19"/>
      <c r="CW163" s="19"/>
      <c r="CX163" s="19"/>
      <c r="CY163" s="19"/>
      <c r="CZ163" s="19"/>
      <c r="DA163" s="19"/>
      <c r="DB163" s="19"/>
      <c r="DC163" s="19"/>
      <c r="DD163" s="19"/>
      <c r="DE163" s="19"/>
      <c r="DF163" s="19"/>
      <c r="DG163" s="19"/>
      <c r="DH163" s="19"/>
      <c r="DI163" s="19"/>
      <c r="DJ163" s="19"/>
      <c r="DK163" s="19"/>
      <c r="DL163" s="19"/>
      <c r="DM163" s="19"/>
      <c r="DN163" s="19"/>
      <c r="DO163" s="19"/>
      <c r="DP163" s="19"/>
      <c r="DQ163" s="19"/>
      <c r="DR163" s="19"/>
      <c r="DS163" s="19"/>
      <c r="DT163" s="19"/>
      <c r="DU163" s="19"/>
      <c r="DV163" s="19"/>
      <c r="DW163" s="19"/>
      <c r="DX163" s="19"/>
      <c r="DY163" s="19"/>
      <c r="DZ163" s="19"/>
      <c r="EA163" s="19"/>
      <c r="EB163" s="19"/>
      <c r="EC163" s="19"/>
      <c r="ED163" s="19"/>
      <c r="EE163" s="19"/>
      <c r="EF163" s="19"/>
      <c r="EG163" s="19"/>
      <c r="EH163" s="19"/>
      <c r="EI163" s="19"/>
      <c r="EJ163" s="19"/>
      <c r="EK163" s="19"/>
      <c r="EL163" s="19"/>
      <c r="EM163" s="19"/>
      <c r="EN163" s="19"/>
      <c r="EO163" s="19"/>
      <c r="EP163" s="19"/>
      <c r="EQ163" s="19"/>
      <c r="ER163" s="19"/>
      <c r="ES163" s="19"/>
      <c r="ET163" s="19"/>
      <c r="EU163" s="19"/>
      <c r="EV163" s="19"/>
      <c r="EW163" s="19"/>
      <c r="EX163" s="19"/>
      <c r="EY163" s="19"/>
      <c r="EZ163" s="19"/>
      <c r="FA163" s="19"/>
      <c r="FB163" s="19"/>
      <c r="FC163" s="19"/>
      <c r="FD163" s="19"/>
      <c r="FE163" s="19"/>
      <c r="FF163" s="19"/>
      <c r="FG163" s="19"/>
      <c r="FH163" s="19"/>
      <c r="FI163" s="19"/>
      <c r="FJ163" s="19"/>
      <c r="FK163" s="19"/>
      <c r="FL163" s="19"/>
      <c r="FM163" s="19"/>
      <c r="FN163" s="19"/>
      <c r="FO163" s="19"/>
      <c r="FP163" s="19"/>
      <c r="FQ163" s="19"/>
      <c r="FR163" s="19"/>
      <c r="FS163" s="19"/>
      <c r="FT163" s="19"/>
      <c r="FU163" s="19"/>
      <c r="FV163" s="19"/>
      <c r="FW163" s="19"/>
      <c r="FX163" s="19"/>
      <c r="FY163" s="19"/>
      <c r="FZ163" s="19"/>
      <c r="GA163" s="19"/>
      <c r="GB163" s="19"/>
      <c r="GC163" s="19"/>
      <c r="GD163" s="19"/>
      <c r="GE163" s="19"/>
      <c r="GF163" s="19"/>
      <c r="GG163" s="19"/>
      <c r="GH163" s="19"/>
      <c r="GI163" s="19"/>
      <c r="GJ163" s="19"/>
      <c r="GK163" s="19"/>
      <c r="GL163" s="19"/>
      <c r="GM163" s="19"/>
      <c r="GN163" s="19"/>
      <c r="GO163" s="19"/>
      <c r="GP163" s="19"/>
      <c r="GQ163" s="19"/>
      <c r="GR163" s="19"/>
      <c r="GS163" s="19"/>
      <c r="GT163" s="19"/>
      <c r="GU163" s="19"/>
      <c r="GV163" s="19"/>
      <c r="GW163" s="19"/>
      <c r="GX163" s="19"/>
      <c r="GY163" s="19"/>
      <c r="GZ163" s="19"/>
      <c r="HA163" s="19"/>
      <c r="HB163" s="19"/>
      <c r="HC163" s="19"/>
      <c r="HD163" s="19"/>
      <c r="HE163" s="19"/>
      <c r="HF163" s="19"/>
      <c r="HG163" s="19"/>
      <c r="HH163" s="19"/>
      <c r="HI163" s="19"/>
      <c r="HJ163" s="19"/>
      <c r="HK163" s="19"/>
      <c r="HL163" s="19"/>
      <c r="HM163" s="19"/>
      <c r="HN163" s="19"/>
      <c r="HO163" s="19"/>
      <c r="HP163" s="19"/>
      <c r="HQ163" s="19"/>
      <c r="HR163" s="19"/>
      <c r="HS163" s="19"/>
      <c r="HT163" s="19"/>
      <c r="HU163" s="19"/>
      <c r="HV163" s="19"/>
      <c r="HW163" s="19"/>
      <c r="HX163" s="19"/>
      <c r="HY163" s="19"/>
      <c r="HZ163" s="19"/>
      <c r="IA163" s="19"/>
      <c r="IB163" s="19"/>
      <c r="IC163" s="19"/>
      <c r="ID163" s="19"/>
      <c r="IE163" s="19"/>
      <c r="IF163" s="19"/>
    </row>
    <row r="164" spans="1:240">
      <c r="D164" s="45" t="s">
        <v>201</v>
      </c>
      <c r="E164" s="30"/>
      <c r="F164" s="43"/>
      <c r="G164" s="43"/>
      <c r="H164" s="36"/>
      <c r="I164" s="36"/>
      <c r="J164" s="36"/>
      <c r="O164" s="19"/>
      <c r="S164" s="115">
        <v>0.4</v>
      </c>
      <c r="T164" s="21">
        <v>0.45</v>
      </c>
      <c r="U164" s="21">
        <v>0.5</v>
      </c>
      <c r="V164" s="21">
        <v>0.56000000000000005</v>
      </c>
      <c r="W164" s="21">
        <v>0.64</v>
      </c>
      <c r="X164" s="21">
        <v>0.75</v>
      </c>
      <c r="Y164" s="21">
        <v>0.85</v>
      </c>
      <c r="Z164" s="21">
        <v>0.93</v>
      </c>
      <c r="AA164" s="21">
        <v>1</v>
      </c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  <c r="BI164" s="19"/>
      <c r="BJ164" s="19"/>
      <c r="BK164" s="19"/>
      <c r="BL164" s="19"/>
      <c r="BM164" s="19"/>
      <c r="BN164" s="19"/>
      <c r="BO164" s="19"/>
      <c r="BP164" s="19"/>
      <c r="BQ164" s="19"/>
      <c r="BR164" s="19"/>
      <c r="BS164" s="19"/>
      <c r="BT164" s="19"/>
      <c r="BU164" s="19"/>
      <c r="BV164" s="19"/>
      <c r="BW164" s="19"/>
      <c r="BX164" s="19"/>
      <c r="BY164" s="19"/>
      <c r="BZ164" s="19"/>
      <c r="CA164" s="19"/>
      <c r="CB164" s="19"/>
      <c r="CC164" s="19"/>
      <c r="CD164" s="19"/>
      <c r="CE164" s="19"/>
      <c r="CF164" s="19"/>
      <c r="CG164" s="19"/>
      <c r="CH164" s="19"/>
      <c r="CI164" s="19"/>
      <c r="CJ164" s="19"/>
      <c r="CK164" s="19"/>
      <c r="CL164" s="19"/>
      <c r="CM164" s="19"/>
      <c r="CN164" s="19"/>
      <c r="CO164" s="19"/>
      <c r="CP164" s="19"/>
      <c r="CQ164" s="19"/>
      <c r="CR164" s="19"/>
      <c r="CS164" s="19"/>
      <c r="CT164" s="19"/>
      <c r="CU164" s="19"/>
      <c r="CV164" s="19"/>
      <c r="CW164" s="19"/>
      <c r="CX164" s="19"/>
      <c r="CY164" s="19"/>
      <c r="CZ164" s="19"/>
      <c r="DA164" s="19"/>
      <c r="DB164" s="19"/>
      <c r="DC164" s="19"/>
      <c r="DD164" s="19"/>
      <c r="DE164" s="19"/>
      <c r="DF164" s="19"/>
      <c r="DG164" s="19"/>
      <c r="DH164" s="19"/>
      <c r="DI164" s="19"/>
      <c r="DJ164" s="19"/>
      <c r="DK164" s="19"/>
      <c r="DL164" s="19"/>
      <c r="DM164" s="19"/>
      <c r="DN164" s="19"/>
      <c r="DO164" s="19"/>
      <c r="DP164" s="19"/>
      <c r="DQ164" s="19"/>
      <c r="DR164" s="19"/>
      <c r="DS164" s="19"/>
      <c r="DT164" s="19"/>
      <c r="DU164" s="19"/>
      <c r="DV164" s="19"/>
      <c r="DW164" s="19"/>
      <c r="DX164" s="19"/>
      <c r="DY164" s="19"/>
      <c r="DZ164" s="19"/>
      <c r="EA164" s="19"/>
      <c r="EB164" s="19"/>
      <c r="EC164" s="19"/>
      <c r="ED164" s="19"/>
      <c r="EE164" s="19"/>
      <c r="EF164" s="19"/>
      <c r="EG164" s="19"/>
      <c r="EH164" s="19"/>
      <c r="EI164" s="19"/>
      <c r="EJ164" s="19"/>
      <c r="EK164" s="19"/>
      <c r="EL164" s="19"/>
      <c r="EM164" s="19"/>
      <c r="EN164" s="19"/>
      <c r="EO164" s="19"/>
      <c r="EP164" s="19"/>
      <c r="EQ164" s="19"/>
      <c r="ER164" s="19"/>
      <c r="ES164" s="19"/>
      <c r="ET164" s="19"/>
      <c r="EU164" s="19"/>
      <c r="EV164" s="19"/>
      <c r="EW164" s="19"/>
      <c r="EX164" s="19"/>
      <c r="EY164" s="19"/>
      <c r="EZ164" s="19"/>
      <c r="FA164" s="19"/>
      <c r="FB164" s="19"/>
      <c r="FC164" s="19"/>
      <c r="FD164" s="19"/>
      <c r="FE164" s="19"/>
      <c r="FF164" s="19"/>
      <c r="FG164" s="19"/>
      <c r="FH164" s="19"/>
      <c r="FI164" s="19"/>
      <c r="FJ164" s="19"/>
      <c r="FK164" s="19"/>
      <c r="FL164" s="19"/>
      <c r="FM164" s="19"/>
      <c r="FN164" s="19"/>
      <c r="FO164" s="19"/>
      <c r="FP164" s="19"/>
      <c r="FQ164" s="19"/>
      <c r="FR164" s="19"/>
      <c r="FS164" s="19"/>
      <c r="FT164" s="19"/>
      <c r="FU164" s="19"/>
      <c r="FV164" s="19"/>
      <c r="FW164" s="19"/>
      <c r="FX164" s="19"/>
      <c r="FY164" s="19"/>
      <c r="FZ164" s="19"/>
      <c r="GA164" s="19"/>
      <c r="GB164" s="19"/>
      <c r="GC164" s="19"/>
      <c r="GD164" s="19"/>
      <c r="GE164" s="19"/>
      <c r="GF164" s="19"/>
      <c r="GG164" s="19"/>
      <c r="GH164" s="19"/>
      <c r="GI164" s="19"/>
      <c r="GJ164" s="19"/>
      <c r="GK164" s="19"/>
      <c r="GL164" s="19"/>
      <c r="GM164" s="19"/>
      <c r="GN164" s="19"/>
      <c r="GO164" s="19"/>
      <c r="GP164" s="19"/>
      <c r="GQ164" s="19"/>
      <c r="GR164" s="19"/>
      <c r="GS164" s="19"/>
      <c r="GT164" s="19"/>
      <c r="GU164" s="19"/>
      <c r="GV164" s="19"/>
      <c r="GW164" s="19"/>
      <c r="GX164" s="19"/>
      <c r="GY164" s="19"/>
      <c r="GZ164" s="19"/>
      <c r="HA164" s="19"/>
      <c r="HB164" s="19"/>
      <c r="HC164" s="19"/>
      <c r="HD164" s="19"/>
      <c r="HE164" s="19"/>
      <c r="HF164" s="19"/>
      <c r="HG164" s="19"/>
      <c r="HH164" s="19"/>
      <c r="HI164" s="19"/>
      <c r="HJ164" s="19"/>
      <c r="HK164" s="19"/>
      <c r="HL164" s="19"/>
      <c r="HM164" s="19"/>
      <c r="HN164" s="19"/>
      <c r="HO164" s="19"/>
      <c r="HP164" s="19"/>
      <c r="HQ164" s="19"/>
      <c r="HR164" s="19"/>
      <c r="HS164" s="19"/>
      <c r="HT164" s="19"/>
      <c r="HU164" s="19"/>
      <c r="HV164" s="19"/>
      <c r="HW164" s="19"/>
      <c r="HX164" s="19"/>
      <c r="HY164" s="19"/>
      <c r="HZ164" s="19"/>
      <c r="IA164" s="19"/>
      <c r="IB164" s="19"/>
      <c r="IC164" s="19"/>
      <c r="ID164" s="19"/>
      <c r="IE164" s="19"/>
      <c r="IF164" s="19"/>
    </row>
    <row r="165" spans="1:240">
      <c r="D165" s="45"/>
      <c r="E165" s="30"/>
      <c r="F165" s="43"/>
      <c r="G165" s="43"/>
      <c r="H165" s="36"/>
      <c r="I165" s="36"/>
      <c r="J165" s="36"/>
      <c r="O165" s="19"/>
      <c r="S165" s="115">
        <v>0.6</v>
      </c>
      <c r="T165" s="21">
        <v>0.65</v>
      </c>
      <c r="U165" s="21">
        <v>0.7</v>
      </c>
      <c r="V165" s="21">
        <v>0.75</v>
      </c>
      <c r="W165" s="21">
        <v>0.81</v>
      </c>
      <c r="X165" s="21">
        <v>0.87</v>
      </c>
      <c r="Y165" s="21">
        <v>0.94</v>
      </c>
      <c r="Z165" s="21">
        <v>0.98</v>
      </c>
      <c r="AA165" s="21">
        <v>1</v>
      </c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19"/>
      <c r="BP165" s="19"/>
      <c r="BQ165" s="19"/>
      <c r="BR165" s="19"/>
      <c r="BS165" s="19"/>
      <c r="BT165" s="19"/>
      <c r="BU165" s="19"/>
      <c r="BV165" s="19"/>
      <c r="BW165" s="19"/>
      <c r="BX165" s="19"/>
      <c r="BY165" s="19"/>
      <c r="BZ165" s="19"/>
      <c r="CA165" s="19"/>
      <c r="CB165" s="19"/>
      <c r="CC165" s="19"/>
      <c r="CD165" s="19"/>
      <c r="CE165" s="19"/>
      <c r="CF165" s="19"/>
      <c r="CG165" s="19"/>
      <c r="CH165" s="19"/>
      <c r="CI165" s="19"/>
      <c r="CJ165" s="19"/>
      <c r="CK165" s="19"/>
      <c r="CL165" s="19"/>
      <c r="CM165" s="19"/>
      <c r="CN165" s="19"/>
      <c r="CO165" s="19"/>
      <c r="CP165" s="19"/>
      <c r="CQ165" s="19"/>
      <c r="CR165" s="19"/>
      <c r="CS165" s="19"/>
      <c r="CT165" s="19"/>
      <c r="CU165" s="19"/>
      <c r="CV165" s="19"/>
      <c r="CW165" s="19"/>
      <c r="CX165" s="19"/>
      <c r="CY165" s="19"/>
      <c r="CZ165" s="19"/>
      <c r="DA165" s="19"/>
      <c r="DB165" s="19"/>
      <c r="DC165" s="19"/>
      <c r="DD165" s="19"/>
      <c r="DE165" s="19"/>
      <c r="DF165" s="19"/>
      <c r="DG165" s="19"/>
      <c r="DH165" s="19"/>
      <c r="DI165" s="19"/>
      <c r="DJ165" s="19"/>
      <c r="DK165" s="19"/>
      <c r="DL165" s="19"/>
      <c r="DM165" s="19"/>
      <c r="DN165" s="19"/>
      <c r="DO165" s="19"/>
      <c r="DP165" s="19"/>
      <c r="DQ165" s="19"/>
      <c r="DR165" s="19"/>
      <c r="DS165" s="19"/>
      <c r="DT165" s="19"/>
      <c r="DU165" s="19"/>
      <c r="DV165" s="19"/>
      <c r="DW165" s="19"/>
      <c r="DX165" s="19"/>
      <c r="DY165" s="19"/>
      <c r="DZ165" s="19"/>
      <c r="EA165" s="19"/>
      <c r="EB165" s="19"/>
      <c r="EC165" s="19"/>
      <c r="ED165" s="19"/>
      <c r="EE165" s="19"/>
      <c r="EF165" s="19"/>
      <c r="EG165" s="19"/>
      <c r="EH165" s="19"/>
      <c r="EI165" s="19"/>
      <c r="EJ165" s="19"/>
      <c r="EK165" s="19"/>
      <c r="EL165" s="19"/>
      <c r="EM165" s="19"/>
      <c r="EN165" s="19"/>
      <c r="EO165" s="19"/>
      <c r="EP165" s="19"/>
      <c r="EQ165" s="19"/>
      <c r="ER165" s="19"/>
      <c r="ES165" s="19"/>
      <c r="ET165" s="19"/>
      <c r="EU165" s="19"/>
      <c r="EV165" s="19"/>
      <c r="EW165" s="19"/>
      <c r="EX165" s="19"/>
      <c r="EY165" s="19"/>
      <c r="EZ165" s="19"/>
      <c r="FA165" s="19"/>
      <c r="FB165" s="19"/>
      <c r="FC165" s="19"/>
      <c r="FD165" s="19"/>
      <c r="FE165" s="19"/>
      <c r="FF165" s="19"/>
      <c r="FG165" s="19"/>
      <c r="FH165" s="19"/>
      <c r="FI165" s="19"/>
      <c r="FJ165" s="19"/>
      <c r="FK165" s="19"/>
      <c r="FL165" s="19"/>
      <c r="FM165" s="19"/>
      <c r="FN165" s="19"/>
      <c r="FO165" s="19"/>
      <c r="FP165" s="19"/>
      <c r="FQ165" s="19"/>
      <c r="FR165" s="19"/>
      <c r="FS165" s="19"/>
      <c r="FT165" s="19"/>
      <c r="FU165" s="19"/>
      <c r="FV165" s="19"/>
      <c r="FW165" s="19"/>
      <c r="FX165" s="19"/>
      <c r="FY165" s="19"/>
      <c r="FZ165" s="19"/>
      <c r="GA165" s="19"/>
      <c r="GB165" s="19"/>
      <c r="GC165" s="19"/>
      <c r="GD165" s="19"/>
      <c r="GE165" s="19"/>
      <c r="GF165" s="19"/>
      <c r="GG165" s="19"/>
      <c r="GH165" s="19"/>
      <c r="GI165" s="19"/>
      <c r="GJ165" s="19"/>
      <c r="GK165" s="19"/>
      <c r="GL165" s="19"/>
      <c r="GM165" s="19"/>
      <c r="GN165" s="19"/>
      <c r="GO165" s="19"/>
      <c r="GP165" s="19"/>
      <c r="GQ165" s="19"/>
      <c r="GR165" s="19"/>
      <c r="GS165" s="19"/>
      <c r="GT165" s="19"/>
      <c r="GU165" s="19"/>
      <c r="GV165" s="19"/>
      <c r="GW165" s="19"/>
      <c r="GX165" s="19"/>
      <c r="GY165" s="19"/>
      <c r="GZ165" s="19"/>
      <c r="HA165" s="19"/>
      <c r="HB165" s="19"/>
      <c r="HC165" s="19"/>
      <c r="HD165" s="19"/>
      <c r="HE165" s="19"/>
      <c r="HF165" s="19"/>
      <c r="HG165" s="19"/>
      <c r="HH165" s="19"/>
      <c r="HI165" s="19"/>
      <c r="HJ165" s="19"/>
      <c r="HK165" s="19"/>
      <c r="HL165" s="19"/>
      <c r="HM165" s="19"/>
      <c r="HN165" s="19"/>
      <c r="HO165" s="19"/>
      <c r="HP165" s="19"/>
      <c r="HQ165" s="19"/>
      <c r="HR165" s="19"/>
      <c r="HS165" s="19"/>
      <c r="HT165" s="19"/>
      <c r="HU165" s="19"/>
      <c r="HV165" s="19"/>
      <c r="HW165" s="19"/>
      <c r="HX165" s="19"/>
      <c r="HY165" s="19"/>
      <c r="HZ165" s="19"/>
      <c r="IA165" s="19"/>
      <c r="IB165" s="19"/>
      <c r="IC165" s="19"/>
      <c r="ID165" s="19"/>
      <c r="IE165" s="19"/>
      <c r="IF165" s="19"/>
    </row>
    <row r="166" spans="1:240">
      <c r="D166" s="37"/>
      <c r="E166" s="30"/>
      <c r="F166" s="43"/>
      <c r="G166" s="43"/>
      <c r="H166" s="36"/>
      <c r="I166" s="36"/>
      <c r="J166" s="36"/>
      <c r="O166" s="157" t="s">
        <v>198</v>
      </c>
      <c r="P166" s="157" t="s">
        <v>46</v>
      </c>
      <c r="Q166" s="157" t="s">
        <v>197</v>
      </c>
      <c r="S166" s="115">
        <v>0.8</v>
      </c>
      <c r="T166" s="21">
        <v>0.84</v>
      </c>
      <c r="U166" s="21">
        <v>0.87</v>
      </c>
      <c r="V166" s="21">
        <v>0.9</v>
      </c>
      <c r="W166" s="21">
        <v>0.93</v>
      </c>
      <c r="X166" s="21">
        <v>0.96</v>
      </c>
      <c r="Y166" s="21">
        <v>0.98</v>
      </c>
      <c r="Z166" s="21">
        <v>1</v>
      </c>
      <c r="AA166" s="21">
        <v>1</v>
      </c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  <c r="BP166" s="19"/>
      <c r="BQ166" s="19"/>
      <c r="BR166" s="19"/>
      <c r="BS166" s="19"/>
      <c r="BT166" s="19"/>
      <c r="BU166" s="19"/>
      <c r="BV166" s="19"/>
      <c r="BW166" s="19"/>
      <c r="BX166" s="19"/>
      <c r="BY166" s="19"/>
      <c r="BZ166" s="19"/>
      <c r="CA166" s="19"/>
      <c r="CB166" s="19"/>
      <c r="CC166" s="19"/>
      <c r="CD166" s="19"/>
      <c r="CE166" s="19"/>
      <c r="CF166" s="19"/>
      <c r="CG166" s="19"/>
      <c r="CH166" s="19"/>
      <c r="CI166" s="19"/>
      <c r="CJ166" s="19"/>
      <c r="CK166" s="19"/>
      <c r="CL166" s="19"/>
      <c r="CM166" s="19"/>
      <c r="CN166" s="19"/>
      <c r="CO166" s="19"/>
      <c r="CP166" s="19"/>
      <c r="CQ166" s="19"/>
      <c r="CR166" s="19"/>
      <c r="CS166" s="19"/>
      <c r="CT166" s="19"/>
      <c r="CU166" s="19"/>
      <c r="CV166" s="19"/>
      <c r="CW166" s="19"/>
      <c r="CX166" s="19"/>
      <c r="CY166" s="19"/>
      <c r="CZ166" s="19"/>
      <c r="DA166" s="19"/>
      <c r="DB166" s="19"/>
      <c r="DC166" s="19"/>
      <c r="DD166" s="19"/>
      <c r="DE166" s="19"/>
      <c r="DF166" s="19"/>
      <c r="DG166" s="19"/>
      <c r="DH166" s="19"/>
      <c r="DI166" s="19"/>
      <c r="DJ166" s="19"/>
      <c r="DK166" s="19"/>
      <c r="DL166" s="19"/>
      <c r="DM166" s="19"/>
      <c r="DN166" s="19"/>
      <c r="DO166" s="19"/>
      <c r="DP166" s="19"/>
      <c r="DQ166" s="19"/>
      <c r="DR166" s="19"/>
      <c r="DS166" s="19"/>
      <c r="DT166" s="19"/>
      <c r="DU166" s="19"/>
      <c r="DV166" s="19"/>
      <c r="DW166" s="19"/>
      <c r="DX166" s="19"/>
      <c r="DY166" s="19"/>
      <c r="DZ166" s="19"/>
      <c r="EA166" s="19"/>
      <c r="EB166" s="19"/>
      <c r="EC166" s="19"/>
      <c r="ED166" s="19"/>
      <c r="EE166" s="19"/>
      <c r="EF166" s="19"/>
      <c r="EG166" s="19"/>
      <c r="EH166" s="19"/>
      <c r="EI166" s="19"/>
      <c r="EJ166" s="19"/>
      <c r="EK166" s="19"/>
      <c r="EL166" s="19"/>
      <c r="EM166" s="19"/>
      <c r="EN166" s="19"/>
      <c r="EO166" s="19"/>
      <c r="EP166" s="19"/>
      <c r="EQ166" s="19"/>
      <c r="ER166" s="19"/>
      <c r="ES166" s="19"/>
      <c r="ET166" s="19"/>
      <c r="EU166" s="19"/>
      <c r="EV166" s="19"/>
      <c r="EW166" s="19"/>
      <c r="EX166" s="19"/>
      <c r="EY166" s="19"/>
      <c r="EZ166" s="19"/>
      <c r="FA166" s="19"/>
      <c r="FB166" s="19"/>
      <c r="FC166" s="19"/>
      <c r="FD166" s="19"/>
      <c r="FE166" s="19"/>
      <c r="FF166" s="19"/>
      <c r="FG166" s="19"/>
      <c r="FH166" s="19"/>
      <c r="FI166" s="19"/>
      <c r="FJ166" s="19"/>
      <c r="FK166" s="19"/>
      <c r="FL166" s="19"/>
      <c r="FM166" s="19"/>
      <c r="FN166" s="19"/>
      <c r="FO166" s="19"/>
      <c r="FP166" s="19"/>
      <c r="FQ166" s="19"/>
      <c r="FR166" s="19"/>
      <c r="FS166" s="19"/>
      <c r="FT166" s="19"/>
      <c r="FU166" s="19"/>
      <c r="FV166" s="19"/>
      <c r="FW166" s="19"/>
      <c r="FX166" s="19"/>
      <c r="FY166" s="19"/>
      <c r="FZ166" s="19"/>
      <c r="GA166" s="19"/>
      <c r="GB166" s="19"/>
      <c r="GC166" s="19"/>
      <c r="GD166" s="19"/>
      <c r="GE166" s="19"/>
      <c r="GF166" s="19"/>
      <c r="GG166" s="19"/>
      <c r="GH166" s="19"/>
      <c r="GI166" s="19"/>
      <c r="GJ166" s="19"/>
      <c r="GK166" s="19"/>
      <c r="GL166" s="19"/>
      <c r="GM166" s="19"/>
      <c r="GN166" s="19"/>
      <c r="GO166" s="19"/>
      <c r="GP166" s="19"/>
      <c r="GQ166" s="19"/>
      <c r="GR166" s="19"/>
      <c r="GS166" s="19"/>
      <c r="GT166" s="19"/>
      <c r="GU166" s="19"/>
      <c r="GV166" s="19"/>
      <c r="GW166" s="19"/>
      <c r="GX166" s="19"/>
      <c r="GY166" s="19"/>
      <c r="GZ166" s="19"/>
      <c r="HA166" s="19"/>
      <c r="HB166" s="19"/>
      <c r="HC166" s="19"/>
      <c r="HD166" s="19"/>
      <c r="HE166" s="19"/>
      <c r="HF166" s="19"/>
      <c r="HG166" s="19"/>
      <c r="HH166" s="19"/>
      <c r="HI166" s="19"/>
      <c r="HJ166" s="19"/>
      <c r="HK166" s="19"/>
      <c r="HL166" s="19"/>
      <c r="HM166" s="19"/>
      <c r="HN166" s="19"/>
      <c r="HO166" s="19"/>
      <c r="HP166" s="19"/>
      <c r="HQ166" s="19"/>
      <c r="HR166" s="19"/>
      <c r="HS166" s="19"/>
      <c r="HT166" s="19"/>
      <c r="HU166" s="19"/>
      <c r="HV166" s="19"/>
      <c r="HW166" s="19"/>
      <c r="HX166" s="19"/>
      <c r="HY166" s="19"/>
      <c r="HZ166" s="19"/>
      <c r="IA166" s="19"/>
      <c r="IB166" s="19"/>
      <c r="IC166" s="19"/>
      <c r="ID166" s="19"/>
      <c r="IE166" s="19"/>
      <c r="IF166" s="19"/>
    </row>
    <row r="167" spans="1:240">
      <c r="A167" s="17" t="s">
        <v>41</v>
      </c>
      <c r="I167" s="36"/>
      <c r="J167" s="36"/>
      <c r="O167" s="159">
        <v>1</v>
      </c>
      <c r="P167" s="159">
        <v>0.105</v>
      </c>
      <c r="Q167" s="159">
        <v>14000</v>
      </c>
      <c r="S167" s="115">
        <v>1</v>
      </c>
      <c r="T167" s="21">
        <v>1</v>
      </c>
      <c r="U167" s="21">
        <v>1</v>
      </c>
      <c r="V167" s="21">
        <v>1</v>
      </c>
      <c r="W167" s="21">
        <v>1</v>
      </c>
      <c r="X167" s="21">
        <v>1</v>
      </c>
      <c r="Y167" s="21">
        <v>1</v>
      </c>
      <c r="Z167" s="21">
        <v>1</v>
      </c>
      <c r="AA167" s="21">
        <v>1</v>
      </c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  <c r="BH167" s="19"/>
      <c r="BI167" s="19"/>
      <c r="BJ167" s="19"/>
      <c r="BK167" s="19"/>
      <c r="BL167" s="19"/>
      <c r="BM167" s="19"/>
      <c r="BN167" s="19"/>
      <c r="BO167" s="19"/>
      <c r="BP167" s="19"/>
      <c r="BQ167" s="19"/>
      <c r="BR167" s="19"/>
      <c r="BS167" s="19"/>
      <c r="BT167" s="19"/>
      <c r="BU167" s="19"/>
      <c r="BV167" s="19"/>
      <c r="BW167" s="19"/>
      <c r="BX167" s="19"/>
      <c r="BY167" s="19"/>
      <c r="BZ167" s="19"/>
      <c r="CA167" s="19"/>
      <c r="CB167" s="19"/>
      <c r="CC167" s="19"/>
      <c r="CD167" s="19"/>
      <c r="CE167" s="19"/>
      <c r="CF167" s="19"/>
      <c r="CG167" s="19"/>
      <c r="CH167" s="19"/>
      <c r="CI167" s="19"/>
      <c r="CJ167" s="19"/>
      <c r="CK167" s="19"/>
      <c r="CL167" s="19"/>
      <c r="CM167" s="19"/>
      <c r="CN167" s="19"/>
      <c r="CO167" s="19"/>
      <c r="CP167" s="19"/>
      <c r="CQ167" s="19"/>
      <c r="CR167" s="19"/>
      <c r="CS167" s="19"/>
      <c r="CT167" s="19"/>
      <c r="CU167" s="19"/>
      <c r="CV167" s="19"/>
      <c r="CW167" s="19"/>
      <c r="CX167" s="19"/>
      <c r="CY167" s="19"/>
      <c r="CZ167" s="19"/>
      <c r="DA167" s="19"/>
      <c r="DB167" s="19"/>
      <c r="DC167" s="19"/>
      <c r="DD167" s="19"/>
      <c r="DE167" s="19"/>
      <c r="DF167" s="19"/>
      <c r="DG167" s="19"/>
      <c r="DH167" s="19"/>
      <c r="DI167" s="19"/>
      <c r="DJ167" s="19"/>
      <c r="DK167" s="19"/>
      <c r="DL167" s="19"/>
      <c r="DM167" s="19"/>
      <c r="DN167" s="19"/>
      <c r="DO167" s="19"/>
      <c r="DP167" s="19"/>
      <c r="DQ167" s="19"/>
      <c r="DR167" s="19"/>
      <c r="DS167" s="19"/>
      <c r="DT167" s="19"/>
      <c r="DU167" s="19"/>
      <c r="DV167" s="19"/>
      <c r="DW167" s="19"/>
      <c r="DX167" s="19"/>
      <c r="DY167" s="19"/>
      <c r="DZ167" s="19"/>
      <c r="EA167" s="19"/>
      <c r="EB167" s="19"/>
      <c r="EC167" s="19"/>
      <c r="ED167" s="19"/>
      <c r="EE167" s="19"/>
      <c r="EF167" s="19"/>
      <c r="EG167" s="19"/>
      <c r="EH167" s="19"/>
      <c r="EI167" s="19"/>
      <c r="EJ167" s="19"/>
      <c r="EK167" s="19"/>
      <c r="EL167" s="19"/>
      <c r="EM167" s="19"/>
      <c r="EN167" s="19"/>
      <c r="EO167" s="19"/>
      <c r="EP167" s="19"/>
      <c r="EQ167" s="19"/>
      <c r="ER167" s="19"/>
      <c r="ES167" s="19"/>
      <c r="ET167" s="19"/>
      <c r="EU167" s="19"/>
      <c r="EV167" s="19"/>
      <c r="EW167" s="19"/>
      <c r="EX167" s="19"/>
      <c r="EY167" s="19"/>
      <c r="EZ167" s="19"/>
      <c r="FA167" s="19"/>
      <c r="FB167" s="19"/>
      <c r="FC167" s="19"/>
      <c r="FD167" s="19"/>
      <c r="FE167" s="19"/>
      <c r="FF167" s="19"/>
      <c r="FG167" s="19"/>
      <c r="FH167" s="19"/>
      <c r="FI167" s="19"/>
      <c r="FJ167" s="19"/>
      <c r="FK167" s="19"/>
      <c r="FL167" s="19"/>
      <c r="FM167" s="19"/>
      <c r="FN167" s="19"/>
      <c r="FO167" s="19"/>
      <c r="FP167" s="19"/>
      <c r="FQ167" s="19"/>
      <c r="FR167" s="19"/>
      <c r="FS167" s="19"/>
      <c r="FT167" s="19"/>
      <c r="FU167" s="19"/>
      <c r="FV167" s="19"/>
      <c r="FW167" s="19"/>
      <c r="FX167" s="19"/>
      <c r="FY167" s="19"/>
      <c r="FZ167" s="19"/>
      <c r="GA167" s="19"/>
      <c r="GB167" s="19"/>
      <c r="GC167" s="19"/>
      <c r="GD167" s="19"/>
      <c r="GE167" s="19"/>
      <c r="GF167" s="19"/>
      <c r="GG167" s="19"/>
      <c r="GH167" s="19"/>
      <c r="GI167" s="19"/>
      <c r="GJ167" s="19"/>
      <c r="GK167" s="19"/>
      <c r="GL167" s="19"/>
      <c r="GM167" s="19"/>
      <c r="GN167" s="19"/>
      <c r="GO167" s="19"/>
      <c r="GP167" s="19"/>
      <c r="GQ167" s="19"/>
      <c r="GR167" s="19"/>
      <c r="GS167" s="19"/>
      <c r="GT167" s="19"/>
      <c r="GU167" s="19"/>
      <c r="GV167" s="19"/>
      <c r="GW167" s="19"/>
      <c r="GX167" s="19"/>
      <c r="GY167" s="19"/>
      <c r="GZ167" s="19"/>
      <c r="HA167" s="19"/>
      <c r="HB167" s="19"/>
      <c r="HC167" s="19"/>
      <c r="HD167" s="19"/>
      <c r="HE167" s="19"/>
      <c r="HF167" s="19"/>
      <c r="HG167" s="19"/>
      <c r="HH167" s="19"/>
      <c r="HI167" s="19"/>
      <c r="HJ167" s="19"/>
      <c r="HK167" s="19"/>
      <c r="HL167" s="19"/>
      <c r="HM167" s="19"/>
      <c r="HN167" s="19"/>
      <c r="HO167" s="19"/>
      <c r="HP167" s="19"/>
      <c r="HQ167" s="19"/>
      <c r="HR167" s="19"/>
      <c r="HS167" s="19"/>
      <c r="HT167" s="19"/>
      <c r="HU167" s="19"/>
      <c r="HV167" s="19"/>
      <c r="HW167" s="19"/>
      <c r="HX167" s="19"/>
      <c r="HY167" s="19"/>
      <c r="HZ167" s="19"/>
      <c r="IA167" s="19"/>
      <c r="IB167" s="19"/>
      <c r="IC167" s="19"/>
      <c r="ID167" s="19"/>
      <c r="IE167" s="19"/>
      <c r="IF167" s="19"/>
    </row>
    <row r="168" spans="1:240">
      <c r="C168" s="47"/>
      <c r="I168" s="36"/>
      <c r="J168" s="36"/>
      <c r="O168" s="117">
        <v>2</v>
      </c>
      <c r="P168" s="117">
        <v>0.1</v>
      </c>
      <c r="Q168" s="117">
        <v>11000</v>
      </c>
      <c r="S168" s="115">
        <v>1.5</v>
      </c>
      <c r="T168" s="21">
        <v>1.4</v>
      </c>
      <c r="U168" s="21">
        <v>1.3</v>
      </c>
      <c r="V168" s="21">
        <v>1.2</v>
      </c>
      <c r="W168" s="21">
        <v>1.1200000000000001</v>
      </c>
      <c r="X168" s="21">
        <v>1.06</v>
      </c>
      <c r="Y168" s="242">
        <v>1.03</v>
      </c>
      <c r="Z168" s="242">
        <v>1</v>
      </c>
      <c r="AA168" s="21">
        <v>1</v>
      </c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  <c r="BP168" s="19"/>
      <c r="BQ168" s="19"/>
      <c r="BR168" s="19"/>
      <c r="BS168" s="19"/>
      <c r="BT168" s="19"/>
      <c r="BU168" s="19"/>
      <c r="BV168" s="19"/>
      <c r="BW168" s="19"/>
      <c r="BX168" s="19"/>
      <c r="BY168" s="19"/>
      <c r="BZ168" s="19"/>
      <c r="CA168" s="19"/>
      <c r="CB168" s="19"/>
      <c r="CC168" s="19"/>
      <c r="CD168" s="19"/>
      <c r="CE168" s="19"/>
      <c r="CF168" s="19"/>
      <c r="CG168" s="19"/>
      <c r="CH168" s="19"/>
      <c r="CI168" s="19"/>
      <c r="CJ168" s="19"/>
      <c r="CK168" s="19"/>
      <c r="CL168" s="19"/>
      <c r="CM168" s="19"/>
      <c r="CN168" s="19"/>
      <c r="CO168" s="19"/>
      <c r="CP168" s="19"/>
      <c r="CQ168" s="19"/>
      <c r="CR168" s="19"/>
      <c r="CS168" s="19"/>
      <c r="CT168" s="19"/>
      <c r="CU168" s="19"/>
      <c r="CV168" s="19"/>
      <c r="CW168" s="19"/>
      <c r="CX168" s="19"/>
      <c r="CY168" s="19"/>
      <c r="CZ168" s="19"/>
      <c r="DA168" s="19"/>
      <c r="DB168" s="19"/>
      <c r="DC168" s="19"/>
      <c r="DD168" s="19"/>
      <c r="DE168" s="19"/>
      <c r="DF168" s="19"/>
      <c r="DG168" s="19"/>
      <c r="DH168" s="19"/>
      <c r="DI168" s="19"/>
      <c r="DJ168" s="19"/>
      <c r="DK168" s="19"/>
      <c r="DL168" s="19"/>
      <c r="DM168" s="19"/>
      <c r="DN168" s="19"/>
      <c r="DO168" s="19"/>
      <c r="DP168" s="19"/>
      <c r="DQ168" s="19"/>
      <c r="DR168" s="19"/>
      <c r="DS168" s="19"/>
      <c r="DT168" s="19"/>
      <c r="DU168" s="19"/>
      <c r="DV168" s="19"/>
      <c r="DW168" s="19"/>
      <c r="DX168" s="19"/>
      <c r="DY168" s="19"/>
      <c r="DZ168" s="19"/>
      <c r="EA168" s="19"/>
      <c r="EB168" s="19"/>
      <c r="EC168" s="19"/>
      <c r="ED168" s="19"/>
      <c r="EE168" s="19"/>
      <c r="EF168" s="19"/>
      <c r="EG168" s="19"/>
      <c r="EH168" s="19"/>
      <c r="EI168" s="19"/>
      <c r="EJ168" s="19"/>
      <c r="EK168" s="19"/>
      <c r="EL168" s="19"/>
      <c r="EM168" s="19"/>
      <c r="EN168" s="19"/>
      <c r="EO168" s="19"/>
      <c r="EP168" s="19"/>
      <c r="EQ168" s="19"/>
      <c r="ER168" s="19"/>
      <c r="ES168" s="19"/>
      <c r="ET168" s="19"/>
      <c r="EU168" s="19"/>
      <c r="EV168" s="19"/>
      <c r="EW168" s="19"/>
      <c r="EX168" s="19"/>
      <c r="EY168" s="19"/>
      <c r="EZ168" s="19"/>
      <c r="FA168" s="19"/>
      <c r="FB168" s="19"/>
      <c r="FC168" s="19"/>
      <c r="FD168" s="19"/>
      <c r="FE168" s="19"/>
      <c r="FF168" s="19"/>
      <c r="FG168" s="19"/>
      <c r="FH168" s="19"/>
      <c r="FI168" s="19"/>
      <c r="FJ168" s="19"/>
      <c r="FK168" s="19"/>
      <c r="FL168" s="19"/>
      <c r="FM168" s="19"/>
      <c r="FN168" s="19"/>
      <c r="FO168" s="19"/>
      <c r="FP168" s="19"/>
      <c r="FQ168" s="19"/>
      <c r="FR168" s="19"/>
      <c r="FS168" s="19"/>
      <c r="FT168" s="19"/>
      <c r="FU168" s="19"/>
      <c r="FV168" s="19"/>
      <c r="FW168" s="19"/>
      <c r="FX168" s="19"/>
      <c r="FY168" s="19"/>
      <c r="FZ168" s="19"/>
      <c r="GA168" s="19"/>
      <c r="GB168" s="19"/>
      <c r="GC168" s="19"/>
      <c r="GD168" s="19"/>
      <c r="GE168" s="19"/>
      <c r="GF168" s="19"/>
      <c r="GG168" s="19"/>
      <c r="GH168" s="19"/>
      <c r="GI168" s="19"/>
      <c r="GJ168" s="19"/>
      <c r="GK168" s="19"/>
      <c r="GL168" s="19"/>
      <c r="GM168" s="19"/>
      <c r="GN168" s="19"/>
      <c r="GO168" s="19"/>
      <c r="GP168" s="19"/>
      <c r="GQ168" s="19"/>
      <c r="GR168" s="19"/>
      <c r="GS168" s="19"/>
      <c r="GT168" s="19"/>
      <c r="GU168" s="19"/>
      <c r="GV168" s="19"/>
      <c r="GW168" s="19"/>
      <c r="GX168" s="19"/>
      <c r="GY168" s="19"/>
      <c r="GZ168" s="19"/>
      <c r="HA168" s="19"/>
      <c r="HB168" s="19"/>
      <c r="HC168" s="19"/>
      <c r="HD168" s="19"/>
      <c r="HE168" s="19"/>
      <c r="HF168" s="19"/>
      <c r="HG168" s="19"/>
      <c r="HH168" s="19"/>
      <c r="HI168" s="19"/>
      <c r="HJ168" s="19"/>
      <c r="HK168" s="19"/>
      <c r="HL168" s="19"/>
      <c r="HM168" s="19"/>
      <c r="HN168" s="19"/>
      <c r="HO168" s="19"/>
      <c r="HP168" s="19"/>
      <c r="HQ168" s="19"/>
      <c r="HR168" s="19"/>
      <c r="HS168" s="19"/>
      <c r="HT168" s="19"/>
      <c r="HU168" s="19"/>
      <c r="HV168" s="19"/>
      <c r="HW168" s="19"/>
      <c r="HX168" s="19"/>
      <c r="HY168" s="19"/>
      <c r="HZ168" s="19"/>
      <c r="IA168" s="19"/>
      <c r="IB168" s="19"/>
      <c r="IC168" s="19"/>
      <c r="ID168" s="19"/>
      <c r="IE168" s="19"/>
      <c r="IF168" s="19"/>
    </row>
    <row r="169" spans="1:240" ht="13.5">
      <c r="B169" s="48" t="s">
        <v>102</v>
      </c>
      <c r="C169" s="49"/>
      <c r="D169" s="41">
        <v>1.5</v>
      </c>
      <c r="E169" s="72"/>
      <c r="F169" s="72"/>
      <c r="G169" s="72"/>
      <c r="H169" s="72"/>
      <c r="I169" s="36"/>
      <c r="J169" s="36"/>
      <c r="K169" s="72"/>
      <c r="L169" s="72"/>
      <c r="O169" s="159">
        <v>3</v>
      </c>
      <c r="P169" s="159">
        <v>9.6000000000000002E-2</v>
      </c>
      <c r="Q169" s="159">
        <v>4000</v>
      </c>
      <c r="S169" s="115">
        <v>2</v>
      </c>
      <c r="T169" s="21">
        <v>1.7</v>
      </c>
      <c r="U169" s="21">
        <v>1.5</v>
      </c>
      <c r="V169" s="21">
        <v>1.4</v>
      </c>
      <c r="W169" s="21">
        <v>1.3</v>
      </c>
      <c r="X169" s="21">
        <v>1.2</v>
      </c>
      <c r="Y169" s="242">
        <v>1.1000000000000001</v>
      </c>
      <c r="Z169" s="242">
        <v>1.05</v>
      </c>
      <c r="AA169" s="21">
        <v>1</v>
      </c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  <c r="BP169" s="19"/>
      <c r="BQ169" s="19"/>
      <c r="BR169" s="19"/>
      <c r="BS169" s="19"/>
      <c r="BT169" s="19"/>
      <c r="BU169" s="19"/>
      <c r="BV169" s="19"/>
      <c r="BW169" s="19"/>
      <c r="BX169" s="19"/>
      <c r="BY169" s="19"/>
      <c r="BZ169" s="19"/>
      <c r="CA169" s="19"/>
      <c r="CB169" s="19"/>
      <c r="CC169" s="19"/>
      <c r="CD169" s="19"/>
      <c r="CE169" s="19"/>
      <c r="CF169" s="19"/>
      <c r="CG169" s="19"/>
      <c r="CH169" s="19"/>
      <c r="CI169" s="19"/>
      <c r="CJ169" s="19"/>
      <c r="CK169" s="19"/>
      <c r="CL169" s="19"/>
      <c r="CM169" s="19"/>
      <c r="CN169" s="19"/>
      <c r="CO169" s="19"/>
      <c r="CP169" s="19"/>
      <c r="CQ169" s="19"/>
      <c r="CR169" s="19"/>
      <c r="CS169" s="19"/>
      <c r="CT169" s="19"/>
      <c r="CU169" s="19"/>
      <c r="CV169" s="19"/>
      <c r="CW169" s="19"/>
      <c r="CX169" s="19"/>
      <c r="CY169" s="19"/>
      <c r="CZ169" s="19"/>
      <c r="DA169" s="19"/>
      <c r="DB169" s="19"/>
      <c r="DC169" s="19"/>
      <c r="DD169" s="19"/>
      <c r="DE169" s="19"/>
      <c r="DF169" s="19"/>
      <c r="DG169" s="19"/>
      <c r="DH169" s="19"/>
      <c r="DI169" s="19"/>
      <c r="DJ169" s="19"/>
      <c r="DK169" s="19"/>
      <c r="DL169" s="19"/>
      <c r="DM169" s="19"/>
      <c r="DN169" s="19"/>
      <c r="DO169" s="19"/>
      <c r="DP169" s="19"/>
      <c r="DQ169" s="19"/>
      <c r="DR169" s="19"/>
      <c r="DS169" s="19"/>
      <c r="DT169" s="19"/>
      <c r="DU169" s="19"/>
      <c r="DV169" s="19"/>
      <c r="DW169" s="19"/>
      <c r="DX169" s="19"/>
      <c r="DY169" s="19"/>
      <c r="DZ169" s="19"/>
      <c r="EA169" s="19"/>
      <c r="EB169" s="19"/>
      <c r="EC169" s="19"/>
      <c r="ED169" s="19"/>
      <c r="EE169" s="19"/>
      <c r="EF169" s="19"/>
      <c r="EG169" s="19"/>
      <c r="EH169" s="19"/>
      <c r="EI169" s="19"/>
      <c r="EJ169" s="19"/>
      <c r="EK169" s="19"/>
      <c r="EL169" s="19"/>
      <c r="EM169" s="19"/>
      <c r="EN169" s="19"/>
      <c r="EO169" s="19"/>
      <c r="EP169" s="19"/>
      <c r="EQ169" s="19"/>
      <c r="ER169" s="19"/>
      <c r="ES169" s="19"/>
      <c r="ET169" s="19"/>
      <c r="EU169" s="19"/>
      <c r="EV169" s="19"/>
      <c r="EW169" s="19"/>
      <c r="EX169" s="19"/>
      <c r="EY169" s="19"/>
      <c r="EZ169" s="19"/>
      <c r="FA169" s="19"/>
      <c r="FB169" s="19"/>
      <c r="FC169" s="19"/>
      <c r="FD169" s="19"/>
      <c r="FE169" s="19"/>
      <c r="FF169" s="19"/>
      <c r="FG169" s="19"/>
      <c r="FH169" s="19"/>
      <c r="FI169" s="19"/>
      <c r="FJ169" s="19"/>
      <c r="FK169" s="19"/>
      <c r="FL169" s="19"/>
      <c r="FM169" s="19"/>
      <c r="FN169" s="19"/>
      <c r="FO169" s="19"/>
      <c r="FP169" s="19"/>
      <c r="FQ169" s="19"/>
      <c r="FR169" s="19"/>
      <c r="FS169" s="19"/>
      <c r="FT169" s="19"/>
      <c r="FU169" s="19"/>
      <c r="FV169" s="19"/>
      <c r="FW169" s="19"/>
      <c r="FX169" s="19"/>
      <c r="FY169" s="19"/>
      <c r="FZ169" s="19"/>
      <c r="GA169" s="19"/>
      <c r="GB169" s="19"/>
      <c r="GC169" s="19"/>
      <c r="GD169" s="19"/>
      <c r="GE169" s="19"/>
      <c r="GF169" s="19"/>
      <c r="GG169" s="19"/>
      <c r="GH169" s="19"/>
      <c r="GI169" s="19"/>
      <c r="GJ169" s="19"/>
      <c r="GK169" s="19"/>
      <c r="GL169" s="19"/>
      <c r="GM169" s="19"/>
      <c r="GN169" s="19"/>
      <c r="GO169" s="19"/>
      <c r="GP169" s="19"/>
      <c r="GQ169" s="19"/>
      <c r="GR169" s="19"/>
      <c r="GS169" s="19"/>
      <c r="GT169" s="19"/>
      <c r="GU169" s="19"/>
      <c r="GV169" s="19"/>
      <c r="GW169" s="19"/>
      <c r="GX169" s="19"/>
      <c r="GY169" s="19"/>
      <c r="GZ169" s="19"/>
      <c r="HA169" s="19"/>
      <c r="HB169" s="19"/>
      <c r="HC169" s="19"/>
      <c r="HD169" s="19"/>
      <c r="HE169" s="19"/>
      <c r="HF169" s="19"/>
      <c r="HG169" s="19"/>
      <c r="HH169" s="19"/>
      <c r="HI169" s="19"/>
      <c r="HJ169" s="19"/>
      <c r="HK169" s="19"/>
      <c r="HL169" s="19"/>
      <c r="HM169" s="19"/>
      <c r="HN169" s="19"/>
      <c r="HO169" s="19"/>
      <c r="HP169" s="19"/>
      <c r="HQ169" s="19"/>
      <c r="HR169" s="19"/>
      <c r="HS169" s="19"/>
      <c r="HT169" s="19"/>
      <c r="HU169" s="19"/>
      <c r="HV169" s="19"/>
      <c r="HW169" s="19"/>
      <c r="HX169" s="19"/>
      <c r="HY169" s="19"/>
      <c r="HZ169" s="19"/>
      <c r="IA169" s="19"/>
      <c r="IB169" s="19"/>
      <c r="IC169" s="19"/>
      <c r="ID169" s="19"/>
      <c r="IE169" s="19"/>
      <c r="IF169" s="19"/>
    </row>
    <row r="170" spans="1:240" ht="13.5">
      <c r="B170" s="50" t="s">
        <v>104</v>
      </c>
      <c r="C170" s="51"/>
      <c r="D170" s="53">
        <f>0.149*57</f>
        <v>8.4930000000000003</v>
      </c>
      <c r="E170" s="123" t="s">
        <v>42</v>
      </c>
      <c r="F170" s="72"/>
      <c r="G170" s="72"/>
      <c r="H170" s="72"/>
      <c r="I170" s="36"/>
      <c r="J170" s="36"/>
      <c r="K170" s="72"/>
      <c r="L170" s="72"/>
      <c r="O170" s="159">
        <v>4</v>
      </c>
      <c r="P170" s="159">
        <v>0.1</v>
      </c>
      <c r="Q170" s="159">
        <v>16000</v>
      </c>
      <c r="S170" s="115">
        <v>3</v>
      </c>
      <c r="T170" s="21">
        <v>2.2000000000000002</v>
      </c>
      <c r="U170" s="21">
        <v>1.8</v>
      </c>
      <c r="V170" s="21">
        <v>1.65</v>
      </c>
      <c r="W170" s="21">
        <v>1.5</v>
      </c>
      <c r="X170" s="21">
        <v>1.35</v>
      </c>
      <c r="Y170" s="21">
        <v>1.2</v>
      </c>
      <c r="Z170" s="21">
        <v>1.1000000000000001</v>
      </c>
      <c r="AA170" s="21">
        <v>1</v>
      </c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  <c r="BP170" s="19"/>
      <c r="BQ170" s="19"/>
      <c r="BR170" s="19"/>
      <c r="BS170" s="19"/>
      <c r="BT170" s="19"/>
      <c r="BU170" s="19"/>
      <c r="BV170" s="19"/>
      <c r="BW170" s="19"/>
      <c r="BX170" s="19"/>
      <c r="BY170" s="19"/>
      <c r="BZ170" s="19"/>
      <c r="CA170" s="19"/>
      <c r="CB170" s="19"/>
      <c r="CC170" s="19"/>
      <c r="CD170" s="19"/>
      <c r="CE170" s="19"/>
      <c r="CF170" s="19"/>
      <c r="CG170" s="19"/>
      <c r="CH170" s="19"/>
      <c r="CI170" s="19"/>
      <c r="CJ170" s="19"/>
      <c r="CK170" s="19"/>
      <c r="CL170" s="19"/>
      <c r="CM170" s="19"/>
      <c r="CN170" s="19"/>
      <c r="CO170" s="19"/>
      <c r="CP170" s="19"/>
      <c r="CQ170" s="19"/>
      <c r="CR170" s="19"/>
      <c r="CS170" s="19"/>
      <c r="CT170" s="19"/>
      <c r="CU170" s="19"/>
      <c r="CV170" s="19"/>
      <c r="CW170" s="19"/>
      <c r="CX170" s="19"/>
      <c r="CY170" s="19"/>
      <c r="CZ170" s="19"/>
      <c r="DA170" s="19"/>
      <c r="DB170" s="19"/>
      <c r="DC170" s="19"/>
      <c r="DD170" s="19"/>
      <c r="DE170" s="19"/>
      <c r="DF170" s="19"/>
      <c r="DG170" s="19"/>
      <c r="DH170" s="19"/>
      <c r="DI170" s="19"/>
      <c r="DJ170" s="19"/>
      <c r="DK170" s="19"/>
      <c r="DL170" s="19"/>
      <c r="DM170" s="19"/>
      <c r="DN170" s="19"/>
      <c r="DO170" s="19"/>
      <c r="DP170" s="19"/>
      <c r="DQ170" s="19"/>
      <c r="DR170" s="19"/>
      <c r="DS170" s="19"/>
      <c r="DT170" s="19"/>
      <c r="DU170" s="19"/>
      <c r="DV170" s="19"/>
      <c r="DW170" s="19"/>
      <c r="DX170" s="19"/>
      <c r="DY170" s="19"/>
      <c r="DZ170" s="19"/>
      <c r="EA170" s="19"/>
      <c r="EB170" s="19"/>
      <c r="EC170" s="19"/>
      <c r="ED170" s="19"/>
      <c r="EE170" s="19"/>
      <c r="EF170" s="19"/>
      <c r="EG170" s="19"/>
      <c r="EH170" s="19"/>
      <c r="EI170" s="19"/>
      <c r="EJ170" s="19"/>
      <c r="EK170" s="19"/>
      <c r="EL170" s="19"/>
      <c r="EM170" s="19"/>
      <c r="EN170" s="19"/>
      <c r="EO170" s="19"/>
      <c r="EP170" s="19"/>
      <c r="EQ170" s="19"/>
      <c r="ER170" s="19"/>
      <c r="ES170" s="19"/>
      <c r="ET170" s="19"/>
      <c r="EU170" s="19"/>
      <c r="EV170" s="19"/>
      <c r="EW170" s="19"/>
      <c r="EX170" s="19"/>
      <c r="EY170" s="19"/>
      <c r="EZ170" s="19"/>
      <c r="FA170" s="19"/>
      <c r="FB170" s="19"/>
      <c r="FC170" s="19"/>
      <c r="FD170" s="19"/>
      <c r="FE170" s="19"/>
      <c r="FF170" s="19"/>
      <c r="FG170" s="19"/>
      <c r="FH170" s="19"/>
      <c r="FI170" s="19"/>
      <c r="FJ170" s="19"/>
      <c r="FK170" s="19"/>
      <c r="FL170" s="19"/>
      <c r="FM170" s="19"/>
      <c r="FN170" s="19"/>
      <c r="FO170" s="19"/>
      <c r="FP170" s="19"/>
      <c r="FQ170" s="19"/>
      <c r="FR170" s="19"/>
      <c r="FS170" s="19"/>
      <c r="FT170" s="19"/>
      <c r="FU170" s="19"/>
      <c r="FV170" s="19"/>
      <c r="FW170" s="19"/>
      <c r="FX170" s="19"/>
      <c r="FY170" s="19"/>
      <c r="FZ170" s="19"/>
      <c r="GA170" s="19"/>
      <c r="GB170" s="19"/>
      <c r="GC170" s="19"/>
      <c r="GD170" s="19"/>
      <c r="GE170" s="19"/>
      <c r="GF170" s="19"/>
      <c r="GG170" s="19"/>
      <c r="GH170" s="19"/>
      <c r="GI170" s="19"/>
      <c r="GJ170" s="19"/>
      <c r="GK170" s="19"/>
      <c r="GL170" s="19"/>
      <c r="GM170" s="19"/>
      <c r="GN170" s="19"/>
      <c r="GO170" s="19"/>
      <c r="GP170" s="19"/>
      <c r="GQ170" s="19"/>
      <c r="GR170" s="19"/>
      <c r="GS170" s="19"/>
      <c r="GT170" s="19"/>
      <c r="GU170" s="19"/>
      <c r="GV170" s="19"/>
      <c r="GW170" s="19"/>
      <c r="GX170" s="19"/>
      <c r="GY170" s="19"/>
      <c r="GZ170" s="19"/>
      <c r="HA170" s="19"/>
      <c r="HB170" s="19"/>
      <c r="HC170" s="19"/>
      <c r="HD170" s="19"/>
      <c r="HE170" s="19"/>
      <c r="HF170" s="19"/>
      <c r="HG170" s="19"/>
      <c r="HH170" s="19"/>
      <c r="HI170" s="19"/>
      <c r="HJ170" s="19"/>
      <c r="HK170" s="19"/>
      <c r="HL170" s="19"/>
      <c r="HM170" s="19"/>
      <c r="HN170" s="19"/>
      <c r="HO170" s="19"/>
      <c r="HP170" s="19"/>
      <c r="HQ170" s="19"/>
      <c r="HR170" s="19"/>
      <c r="HS170" s="19"/>
      <c r="HT170" s="19"/>
      <c r="HU170" s="19"/>
      <c r="HV170" s="19"/>
      <c r="HW170" s="19"/>
      <c r="HX170" s="19"/>
      <c r="HY170" s="19"/>
      <c r="HZ170" s="19"/>
      <c r="IA170" s="19"/>
      <c r="IB170" s="19"/>
      <c r="IC170" s="19"/>
      <c r="ID170" s="19"/>
      <c r="IE170" s="19"/>
      <c r="IF170" s="19"/>
    </row>
    <row r="171" spans="1:240" ht="13.5">
      <c r="B171" s="50" t="s">
        <v>105</v>
      </c>
      <c r="C171" s="51"/>
      <c r="D171" s="54">
        <f>D170/14.21*100</f>
        <v>59.767769176636165</v>
      </c>
      <c r="E171" s="123" t="s">
        <v>43</v>
      </c>
      <c r="F171" s="123"/>
      <c r="G171" s="123"/>
      <c r="H171" s="123"/>
      <c r="I171" s="60"/>
      <c r="J171" s="60"/>
      <c r="K171" s="123"/>
      <c r="L171" s="72"/>
      <c r="S171" s="115">
        <v>5</v>
      </c>
      <c r="T171" s="21">
        <v>3</v>
      </c>
      <c r="U171" s="21">
        <v>2.2000000000000002</v>
      </c>
      <c r="V171" s="21">
        <v>1.9</v>
      </c>
      <c r="W171" s="21">
        <v>1.7</v>
      </c>
      <c r="X171" s="21">
        <v>1.5</v>
      </c>
      <c r="Y171" s="21">
        <v>1.3</v>
      </c>
      <c r="Z171" s="21">
        <v>1.1499999999999999</v>
      </c>
      <c r="AA171" s="21">
        <v>1</v>
      </c>
    </row>
    <row r="172" spans="1:240" ht="13.5">
      <c r="B172" s="50" t="s">
        <v>104</v>
      </c>
      <c r="C172" s="51"/>
      <c r="D172" s="53">
        <f>0.149*28</f>
        <v>4.1719999999999997</v>
      </c>
      <c r="E172" s="123" t="s">
        <v>132</v>
      </c>
      <c r="F172" s="123"/>
      <c r="G172" s="123"/>
      <c r="H172" s="123"/>
      <c r="I172" s="60"/>
      <c r="J172" s="60"/>
      <c r="K172" s="123"/>
      <c r="L172" s="72"/>
    </row>
    <row r="173" spans="1:240" ht="13.5">
      <c r="B173" s="50" t="s">
        <v>105</v>
      </c>
      <c r="C173" s="51"/>
      <c r="D173" s="54">
        <f>D172/14.21*100</f>
        <v>29.359605911330043</v>
      </c>
      <c r="E173" s="123" t="s">
        <v>44</v>
      </c>
      <c r="F173" s="123"/>
      <c r="G173" s="123"/>
      <c r="H173" s="123"/>
      <c r="I173" s="60"/>
      <c r="J173" s="60"/>
      <c r="K173" s="123"/>
      <c r="L173" s="72"/>
    </row>
    <row r="174" spans="1:240" ht="13.5">
      <c r="B174" s="50" t="s">
        <v>213</v>
      </c>
      <c r="C174" s="49"/>
      <c r="D174" s="55">
        <v>19400</v>
      </c>
      <c r="E174" s="123" t="s">
        <v>239</v>
      </c>
      <c r="F174" s="123"/>
      <c r="G174" s="123"/>
      <c r="H174" s="123"/>
      <c r="I174" s="60"/>
      <c r="J174" s="60"/>
      <c r="K174" s="123"/>
      <c r="L174" s="72"/>
    </row>
    <row r="175" spans="1:240" s="56" customFormat="1">
      <c r="D175" s="57"/>
      <c r="E175" s="58"/>
      <c r="F175" s="59"/>
      <c r="G175" s="59"/>
      <c r="H175" s="60"/>
      <c r="I175" s="60"/>
      <c r="J175" s="60"/>
      <c r="S175" s="17"/>
      <c r="W175" s="17"/>
      <c r="X175" s="17"/>
    </row>
    <row r="176" spans="1:240" s="31" customFormat="1" ht="25.5">
      <c r="B176" s="163" t="str">
        <f>B$41</f>
        <v>Pozo de</v>
      </c>
      <c r="C176" s="163" t="str">
        <f>C$41</f>
        <v>Pozo a</v>
      </c>
      <c r="D176" s="163" t="s">
        <v>130</v>
      </c>
      <c r="E176" s="163" t="s">
        <v>208</v>
      </c>
      <c r="F176" s="163" t="str">
        <f>I41</f>
        <v>Ancho zanja
Bd (m)</v>
      </c>
      <c r="G176" s="142" t="s">
        <v>212</v>
      </c>
      <c r="H176" s="143" t="s">
        <v>46</v>
      </c>
      <c r="I176" s="163" t="s">
        <v>226</v>
      </c>
      <c r="J176" s="165" t="s">
        <v>47</v>
      </c>
      <c r="K176" s="163" t="s">
        <v>227</v>
      </c>
      <c r="L176" s="144" t="s">
        <v>228</v>
      </c>
      <c r="N176" s="17" t="s">
        <v>50</v>
      </c>
      <c r="O176" s="17" t="s">
        <v>51</v>
      </c>
      <c r="P176" s="61"/>
      <c r="Q176" s="61"/>
      <c r="R176" s="61"/>
      <c r="S176" s="61"/>
      <c r="T176" s="61"/>
      <c r="U176" s="61"/>
      <c r="V176" s="17"/>
      <c r="W176" s="17"/>
      <c r="X176" s="61"/>
      <c r="Y176" s="61"/>
    </row>
    <row r="177" spans="2:25" s="74" customFormat="1">
      <c r="B177" s="140">
        <f t="shared" ref="B177:D193" si="61">+B102</f>
        <v>131946</v>
      </c>
      <c r="C177" s="140" t="str">
        <f t="shared" si="61"/>
        <v>131946A</v>
      </c>
      <c r="D177" s="135">
        <f t="shared" si="61"/>
        <v>7.41</v>
      </c>
      <c r="E177" s="135">
        <f t="shared" ref="E177:E193" si="62">+F102</f>
        <v>0.2732</v>
      </c>
      <c r="F177" s="135">
        <f t="shared" ref="F177:F193" si="63">+H102</f>
        <v>1</v>
      </c>
      <c r="G177" s="135">
        <f t="shared" ref="G177:G193" si="64">K42+L102</f>
        <v>29.110995271354621</v>
      </c>
      <c r="H177" s="132">
        <v>0.1</v>
      </c>
      <c r="I177" s="156">
        <v>11000</v>
      </c>
      <c r="J177" s="52">
        <v>1.04</v>
      </c>
      <c r="K177" s="140">
        <f>I177*J177</f>
        <v>11440</v>
      </c>
      <c r="L177" s="135">
        <f>(($D$169*H177*G177)/(IF(E177&lt;=0.5,$D$171,$D$173)+(0.061*K177)))*100</f>
        <v>0.57637335153635538</v>
      </c>
      <c r="M177" s="81"/>
      <c r="N177" s="244">
        <f t="shared" ref="N177:N193" si="65">$D$174/I177</f>
        <v>1.7636363636363637</v>
      </c>
      <c r="O177" s="244">
        <f t="shared" ref="O177:O193" si="66">F177/E177</f>
        <v>3.6603221083455346</v>
      </c>
      <c r="P177" s="82"/>
      <c r="Q177" s="82"/>
      <c r="R177" s="83"/>
      <c r="S177" s="82"/>
      <c r="T177" s="83"/>
      <c r="U177" s="83"/>
      <c r="V177" s="83"/>
      <c r="W177" s="83"/>
      <c r="X177" s="84"/>
      <c r="Y177" s="84"/>
    </row>
    <row r="178" spans="2:25" s="74" customFormat="1">
      <c r="B178" s="140" t="str">
        <f t="shared" si="61"/>
        <v>131946A</v>
      </c>
      <c r="C178" s="140">
        <f t="shared" si="61"/>
        <v>131916</v>
      </c>
      <c r="D178" s="135">
        <f t="shared" si="61"/>
        <v>51.05</v>
      </c>
      <c r="E178" s="135">
        <f t="shared" si="62"/>
        <v>0.2732</v>
      </c>
      <c r="F178" s="135">
        <f t="shared" si="63"/>
        <v>1</v>
      </c>
      <c r="G178" s="135">
        <f t="shared" si="64"/>
        <v>29.143915952237599</v>
      </c>
      <c r="H178" s="132">
        <v>0.1</v>
      </c>
      <c r="I178" s="156">
        <v>11000</v>
      </c>
      <c r="J178" s="52">
        <v>1.04</v>
      </c>
      <c r="K178" s="140">
        <f t="shared" ref="K178:K193" si="67">I178*J178</f>
        <v>11440</v>
      </c>
      <c r="L178" s="135">
        <f t="shared" ref="L178:L193" si="68">(($D$169*H178*G178)/(IF(E178&lt;=0.5,$D$171,$D$173)+(0.061*K178)))*100</f>
        <v>0.57702515347574335</v>
      </c>
      <c r="M178" s="81"/>
      <c r="N178" s="244">
        <f t="shared" si="65"/>
        <v>1.7636363636363637</v>
      </c>
      <c r="O178" s="244">
        <f t="shared" si="66"/>
        <v>3.6603221083455346</v>
      </c>
      <c r="P178" s="82"/>
      <c r="Q178" s="82"/>
      <c r="R178" s="83"/>
      <c r="S178" s="82"/>
      <c r="T178" s="83"/>
      <c r="U178" s="83"/>
      <c r="V178" s="83"/>
      <c r="W178" s="83"/>
      <c r="X178" s="84"/>
      <c r="Y178" s="84"/>
    </row>
    <row r="179" spans="2:25" s="74" customFormat="1">
      <c r="B179" s="140">
        <f t="shared" si="61"/>
        <v>80268</v>
      </c>
      <c r="C179" s="140">
        <f t="shared" si="61"/>
        <v>131796</v>
      </c>
      <c r="D179" s="135">
        <f t="shared" si="61"/>
        <v>58.81</v>
      </c>
      <c r="E179" s="135">
        <f t="shared" si="62"/>
        <v>0.2732</v>
      </c>
      <c r="F179" s="135">
        <f t="shared" si="63"/>
        <v>1</v>
      </c>
      <c r="G179" s="135">
        <f t="shared" si="64"/>
        <v>29.454533964592514</v>
      </c>
      <c r="H179" s="132">
        <v>0.1</v>
      </c>
      <c r="I179" s="156">
        <v>11000</v>
      </c>
      <c r="J179" s="52">
        <v>1.04</v>
      </c>
      <c r="K179" s="140">
        <f t="shared" si="67"/>
        <v>11440</v>
      </c>
      <c r="L179" s="135">
        <f t="shared" si="68"/>
        <v>0.58317513025117607</v>
      </c>
      <c r="M179" s="81"/>
      <c r="N179" s="244">
        <f t="shared" si="65"/>
        <v>1.7636363636363637</v>
      </c>
      <c r="O179" s="244">
        <f t="shared" si="66"/>
        <v>3.6603221083455346</v>
      </c>
      <c r="P179" s="82"/>
      <c r="Q179" s="82"/>
      <c r="R179" s="83"/>
      <c r="S179" s="82"/>
      <c r="T179" s="83"/>
      <c r="U179" s="83"/>
      <c r="V179" s="83"/>
      <c r="W179" s="83"/>
      <c r="X179" s="84"/>
      <c r="Y179" s="84"/>
    </row>
    <row r="180" spans="2:25" s="74" customFormat="1">
      <c r="B180" s="140">
        <f t="shared" si="61"/>
        <v>131796</v>
      </c>
      <c r="C180" s="140">
        <f t="shared" si="61"/>
        <v>131732</v>
      </c>
      <c r="D180" s="135">
        <f t="shared" si="61"/>
        <v>62.58</v>
      </c>
      <c r="E180" s="135">
        <f t="shared" si="62"/>
        <v>0.2732</v>
      </c>
      <c r="F180" s="135">
        <f t="shared" si="63"/>
        <v>1</v>
      </c>
      <c r="G180" s="135">
        <f t="shared" si="64"/>
        <v>29.809026017647312</v>
      </c>
      <c r="H180" s="132">
        <v>0.1</v>
      </c>
      <c r="I180" s="156">
        <v>11000</v>
      </c>
      <c r="J180" s="52">
        <v>1.04</v>
      </c>
      <c r="K180" s="140">
        <f t="shared" si="67"/>
        <v>11440</v>
      </c>
      <c r="L180" s="135">
        <f t="shared" si="68"/>
        <v>0.59019377632657311</v>
      </c>
      <c r="M180" s="81"/>
      <c r="N180" s="244">
        <f t="shared" si="65"/>
        <v>1.7636363636363637</v>
      </c>
      <c r="O180" s="244">
        <f t="shared" si="66"/>
        <v>3.6603221083455346</v>
      </c>
      <c r="P180" s="82"/>
      <c r="Q180" s="82"/>
      <c r="R180" s="83"/>
      <c r="S180" s="82"/>
      <c r="T180" s="83"/>
      <c r="U180" s="83"/>
      <c r="V180" s="83"/>
      <c r="W180" s="83"/>
      <c r="X180" s="84"/>
      <c r="Y180" s="84"/>
    </row>
    <row r="181" spans="2:25" s="74" customFormat="1">
      <c r="B181" s="140" t="str">
        <f t="shared" si="61"/>
        <v>78819A</v>
      </c>
      <c r="C181" s="140" t="str">
        <f t="shared" si="61"/>
        <v>131750A</v>
      </c>
      <c r="D181" s="135">
        <f t="shared" si="61"/>
        <v>30.3</v>
      </c>
      <c r="E181" s="135">
        <f t="shared" si="62"/>
        <v>0.32400000000000001</v>
      </c>
      <c r="F181" s="135">
        <f t="shared" si="63"/>
        <v>1</v>
      </c>
      <c r="G181" s="135">
        <f t="shared" si="64"/>
        <v>32.339185472904198</v>
      </c>
      <c r="H181" s="132">
        <v>0.1</v>
      </c>
      <c r="I181" s="156">
        <v>11000</v>
      </c>
      <c r="J181" s="52">
        <v>1.0629999999999999</v>
      </c>
      <c r="K181" s="140">
        <f t="shared" si="67"/>
        <v>11693</v>
      </c>
      <c r="L181" s="135">
        <f t="shared" si="68"/>
        <v>0.62750607915573298</v>
      </c>
      <c r="M181" s="81"/>
      <c r="N181" s="243">
        <f t="shared" si="65"/>
        <v>1.7636363636363637</v>
      </c>
      <c r="O181" s="243">
        <f t="shared" si="66"/>
        <v>3.0864197530864197</v>
      </c>
      <c r="P181" s="82"/>
      <c r="Q181" s="82"/>
      <c r="R181" s="83"/>
      <c r="S181" s="82"/>
      <c r="T181" s="83"/>
      <c r="U181" s="83"/>
      <c r="V181" s="83"/>
      <c r="W181" s="83"/>
      <c r="X181" s="84"/>
      <c r="Y181" s="84"/>
    </row>
    <row r="182" spans="2:25" s="74" customFormat="1">
      <c r="B182" s="140" t="str">
        <f t="shared" si="61"/>
        <v>131750A</v>
      </c>
      <c r="C182" s="140">
        <f t="shared" si="61"/>
        <v>131732</v>
      </c>
      <c r="D182" s="135">
        <f t="shared" si="61"/>
        <v>30.16</v>
      </c>
      <c r="E182" s="135">
        <f t="shared" si="62"/>
        <v>0.32400000000000001</v>
      </c>
      <c r="F182" s="135">
        <f t="shared" si="63"/>
        <v>1</v>
      </c>
      <c r="G182" s="135">
        <f t="shared" si="64"/>
        <v>31.514834534846909</v>
      </c>
      <c r="H182" s="132">
        <v>0.1</v>
      </c>
      <c r="I182" s="156">
        <v>11000</v>
      </c>
      <c r="J182" s="52">
        <v>1.0629999999999999</v>
      </c>
      <c r="K182" s="140">
        <f t="shared" si="67"/>
        <v>11693</v>
      </c>
      <c r="L182" s="135">
        <f t="shared" si="68"/>
        <v>0.61151046215350224</v>
      </c>
      <c r="M182" s="81"/>
      <c r="N182" s="243">
        <f t="shared" si="65"/>
        <v>1.7636363636363637</v>
      </c>
      <c r="O182" s="243">
        <f t="shared" si="66"/>
        <v>3.0864197530864197</v>
      </c>
      <c r="P182" s="82"/>
      <c r="Q182" s="82"/>
      <c r="R182" s="83"/>
      <c r="S182" s="82"/>
      <c r="T182" s="83"/>
      <c r="U182" s="83"/>
      <c r="V182" s="83"/>
      <c r="W182" s="83"/>
      <c r="X182" s="84"/>
      <c r="Y182" s="84"/>
    </row>
    <row r="183" spans="2:25" s="74" customFormat="1">
      <c r="B183" s="140" t="str">
        <f t="shared" si="61"/>
        <v>131732A</v>
      </c>
      <c r="C183" s="140">
        <f t="shared" si="61"/>
        <v>131732</v>
      </c>
      <c r="D183" s="135">
        <f t="shared" si="61"/>
        <v>41.14</v>
      </c>
      <c r="E183" s="135">
        <f t="shared" si="62"/>
        <v>0.2732</v>
      </c>
      <c r="F183" s="135">
        <f t="shared" si="63"/>
        <v>1</v>
      </c>
      <c r="G183" s="135">
        <f t="shared" si="64"/>
        <v>28.93026359093701</v>
      </c>
      <c r="H183" s="132">
        <v>0.1</v>
      </c>
      <c r="I183" s="156">
        <v>11000</v>
      </c>
      <c r="J183" s="52">
        <v>1.04</v>
      </c>
      <c r="K183" s="140">
        <f t="shared" si="67"/>
        <v>11440</v>
      </c>
      <c r="L183" s="135">
        <f t="shared" si="68"/>
        <v>0.57279501546779787</v>
      </c>
      <c r="M183" s="81"/>
      <c r="N183" s="244">
        <f t="shared" si="65"/>
        <v>1.7636363636363637</v>
      </c>
      <c r="O183" s="244">
        <f t="shared" si="66"/>
        <v>3.6603221083455346</v>
      </c>
      <c r="P183" s="82"/>
      <c r="Q183" s="82"/>
      <c r="R183" s="83"/>
      <c r="S183" s="82"/>
      <c r="T183" s="83"/>
      <c r="U183" s="83"/>
      <c r="V183" s="83"/>
      <c r="W183" s="83"/>
      <c r="X183" s="84"/>
      <c r="Y183" s="84"/>
    </row>
    <row r="184" spans="2:25" s="74" customFormat="1">
      <c r="B184" s="140">
        <f t="shared" si="61"/>
        <v>80265</v>
      </c>
      <c r="C184" s="140" t="str">
        <f t="shared" si="61"/>
        <v>80265A</v>
      </c>
      <c r="D184" s="135">
        <f t="shared" si="61"/>
        <v>11.92</v>
      </c>
      <c r="E184" s="135">
        <f t="shared" si="62"/>
        <v>0.2732</v>
      </c>
      <c r="F184" s="135">
        <f t="shared" si="63"/>
        <v>1</v>
      </c>
      <c r="G184" s="135">
        <f t="shared" si="64"/>
        <v>28.93262861695564</v>
      </c>
      <c r="H184" s="132">
        <v>0.1</v>
      </c>
      <c r="I184" s="156">
        <v>11000</v>
      </c>
      <c r="J184" s="52">
        <v>1.04</v>
      </c>
      <c r="K184" s="140">
        <f t="shared" si="67"/>
        <v>11440</v>
      </c>
      <c r="L184" s="135">
        <f t="shared" si="68"/>
        <v>0.5728418410043391</v>
      </c>
      <c r="M184" s="81"/>
      <c r="N184" s="244">
        <f t="shared" si="65"/>
        <v>1.7636363636363637</v>
      </c>
      <c r="O184" s="244">
        <f t="shared" si="66"/>
        <v>3.6603221083455346</v>
      </c>
      <c r="P184" s="82"/>
      <c r="Q184" s="82"/>
      <c r="R184" s="83"/>
      <c r="S184" s="82"/>
      <c r="T184" s="83"/>
      <c r="U184" s="83"/>
      <c r="V184" s="83"/>
      <c r="W184" s="83"/>
      <c r="X184" s="84"/>
      <c r="Y184" s="84"/>
    </row>
    <row r="185" spans="2:25" s="74" customFormat="1">
      <c r="B185" s="140" t="str">
        <f t="shared" si="61"/>
        <v>80265A</v>
      </c>
      <c r="C185" s="140" t="str">
        <f t="shared" si="61"/>
        <v>131732B</v>
      </c>
      <c r="D185" s="135">
        <f t="shared" si="61"/>
        <v>43.78</v>
      </c>
      <c r="E185" s="135">
        <f t="shared" si="62"/>
        <v>0.2732</v>
      </c>
      <c r="F185" s="135">
        <f t="shared" si="63"/>
        <v>1</v>
      </c>
      <c r="G185" s="135">
        <f t="shared" si="64"/>
        <v>28.948641874036952</v>
      </c>
      <c r="H185" s="132">
        <v>0.1</v>
      </c>
      <c r="I185" s="156">
        <v>11000</v>
      </c>
      <c r="J185" s="52">
        <v>1.04</v>
      </c>
      <c r="K185" s="140">
        <f t="shared" si="67"/>
        <v>11440</v>
      </c>
      <c r="L185" s="135">
        <f t="shared" si="68"/>
        <v>0.57315889009754029</v>
      </c>
      <c r="M185" s="81"/>
      <c r="N185" s="244">
        <f t="shared" si="65"/>
        <v>1.7636363636363637</v>
      </c>
      <c r="O185" s="244">
        <f t="shared" si="66"/>
        <v>3.6603221083455346</v>
      </c>
      <c r="P185" s="82"/>
      <c r="Q185" s="82"/>
      <c r="R185" s="83"/>
      <c r="S185" s="82"/>
      <c r="T185" s="83"/>
      <c r="U185" s="83"/>
      <c r="V185" s="83"/>
      <c r="W185" s="83"/>
      <c r="X185" s="84"/>
      <c r="Y185" s="84"/>
    </row>
    <row r="186" spans="2:25" s="74" customFormat="1">
      <c r="B186" s="140" t="str">
        <f t="shared" si="61"/>
        <v>PZ-V1</v>
      </c>
      <c r="C186" s="140" t="str">
        <f t="shared" si="61"/>
        <v>80265A</v>
      </c>
      <c r="D186" s="135">
        <f t="shared" si="61"/>
        <v>6.74</v>
      </c>
      <c r="E186" s="135">
        <f t="shared" si="62"/>
        <v>0.2732</v>
      </c>
      <c r="F186" s="135">
        <f t="shared" si="63"/>
        <v>1</v>
      </c>
      <c r="G186" s="135">
        <f t="shared" si="64"/>
        <v>31.413280724167478</v>
      </c>
      <c r="H186" s="132">
        <v>0.1</v>
      </c>
      <c r="I186" s="156">
        <v>11000</v>
      </c>
      <c r="J186" s="52">
        <v>1.04</v>
      </c>
      <c r="K186" s="140">
        <f t="shared" si="67"/>
        <v>11440</v>
      </c>
      <c r="L186" s="135">
        <f t="shared" si="68"/>
        <v>0.62195667736434235</v>
      </c>
      <c r="M186" s="81"/>
      <c r="N186" s="244">
        <f t="shared" si="65"/>
        <v>1.7636363636363637</v>
      </c>
      <c r="O186" s="244">
        <f t="shared" si="66"/>
        <v>3.6603221083455346</v>
      </c>
      <c r="P186" s="82"/>
      <c r="Q186" s="82"/>
      <c r="R186" s="83"/>
      <c r="S186" s="82"/>
      <c r="T186" s="83"/>
      <c r="U186" s="83"/>
      <c r="V186" s="83"/>
      <c r="W186" s="83"/>
      <c r="X186" s="84"/>
      <c r="Y186" s="84"/>
    </row>
    <row r="187" spans="2:25" s="74" customFormat="1">
      <c r="B187" s="140" t="str">
        <f t="shared" si="61"/>
        <v>PZ-V2</v>
      </c>
      <c r="C187" s="140" t="str">
        <f t="shared" si="61"/>
        <v>131732B</v>
      </c>
      <c r="D187" s="135">
        <f t="shared" si="61"/>
        <v>6.78</v>
      </c>
      <c r="E187" s="135">
        <f t="shared" si="62"/>
        <v>0.2732</v>
      </c>
      <c r="F187" s="135">
        <f t="shared" si="63"/>
        <v>1</v>
      </c>
      <c r="G187" s="135">
        <f t="shared" si="64"/>
        <v>29.964568173268809</v>
      </c>
      <c r="H187" s="132">
        <v>0.1</v>
      </c>
      <c r="I187" s="156">
        <v>11000</v>
      </c>
      <c r="J187" s="52">
        <v>1.04</v>
      </c>
      <c r="K187" s="140">
        <f t="shared" si="67"/>
        <v>11440</v>
      </c>
      <c r="L187" s="135">
        <f t="shared" si="68"/>
        <v>0.59327338087822412</v>
      </c>
      <c r="M187" s="81"/>
      <c r="N187" s="244">
        <f t="shared" si="65"/>
        <v>1.7636363636363637</v>
      </c>
      <c r="O187" s="244">
        <f t="shared" si="66"/>
        <v>3.6603221083455346</v>
      </c>
      <c r="P187" s="82"/>
      <c r="Q187" s="82"/>
      <c r="R187" s="83"/>
      <c r="S187" s="82"/>
      <c r="T187" s="83"/>
      <c r="U187" s="83"/>
      <c r="V187" s="83"/>
      <c r="W187" s="83"/>
      <c r="X187" s="84"/>
      <c r="Y187" s="84"/>
    </row>
    <row r="188" spans="2:25" s="354" customFormat="1">
      <c r="B188" s="344" t="str">
        <f t="shared" si="61"/>
        <v>PA-01</v>
      </c>
      <c r="C188" s="344" t="str">
        <f t="shared" si="61"/>
        <v>PA-02</v>
      </c>
      <c r="D188" s="345">
        <f t="shared" si="61"/>
        <v>33.71</v>
      </c>
      <c r="E188" s="345">
        <f t="shared" si="62"/>
        <v>0.32400000000000001</v>
      </c>
      <c r="F188" s="345">
        <f t="shared" si="63"/>
        <v>1</v>
      </c>
      <c r="G188" s="345">
        <f t="shared" si="64"/>
        <v>34.220095529295094</v>
      </c>
      <c r="H188" s="346">
        <v>0.1</v>
      </c>
      <c r="I188" s="347">
        <v>11000</v>
      </c>
      <c r="J188" s="348">
        <v>1.0629999999999999</v>
      </c>
      <c r="K188" s="344">
        <f t="shared" si="67"/>
        <v>11693</v>
      </c>
      <c r="L188" s="345">
        <f t="shared" si="68"/>
        <v>0.66400305573293705</v>
      </c>
      <c r="M188" s="349"/>
      <c r="N188" s="355">
        <f t="shared" si="65"/>
        <v>1.7636363636363637</v>
      </c>
      <c r="O188" s="355">
        <f t="shared" si="66"/>
        <v>3.0864197530864197</v>
      </c>
      <c r="P188" s="351"/>
      <c r="Q188" s="351"/>
      <c r="R188" s="352"/>
      <c r="S188" s="351"/>
      <c r="T188" s="352"/>
      <c r="U188" s="352"/>
      <c r="V188" s="352"/>
      <c r="W188" s="352"/>
      <c r="X188" s="353"/>
      <c r="Y188" s="353"/>
    </row>
    <row r="189" spans="2:25" s="74" customFormat="1">
      <c r="B189" s="140" t="str">
        <f t="shared" si="61"/>
        <v>PA-02</v>
      </c>
      <c r="C189" s="140">
        <f t="shared" si="61"/>
        <v>78059</v>
      </c>
      <c r="D189" s="135">
        <f t="shared" si="61"/>
        <v>20.75</v>
      </c>
      <c r="E189" s="135">
        <f t="shared" si="62"/>
        <v>0.32400000000000001</v>
      </c>
      <c r="F189" s="135">
        <f t="shared" si="63"/>
        <v>1</v>
      </c>
      <c r="G189" s="135">
        <f t="shared" si="64"/>
        <v>33.80074692795759</v>
      </c>
      <c r="H189" s="132">
        <v>0.1</v>
      </c>
      <c r="I189" s="156">
        <v>11000</v>
      </c>
      <c r="J189" s="52">
        <v>1.0629999999999999</v>
      </c>
      <c r="K189" s="140">
        <f t="shared" si="67"/>
        <v>11693</v>
      </c>
      <c r="L189" s="135">
        <f t="shared" si="68"/>
        <v>0.65586606054345664</v>
      </c>
      <c r="M189" s="81"/>
      <c r="N189" s="243">
        <f t="shared" si="65"/>
        <v>1.7636363636363637</v>
      </c>
      <c r="O189" s="243">
        <f t="shared" si="66"/>
        <v>3.0864197530864197</v>
      </c>
      <c r="P189" s="82"/>
      <c r="Q189" s="82"/>
      <c r="R189" s="83"/>
      <c r="S189" s="82"/>
      <c r="T189" s="83"/>
      <c r="U189" s="83"/>
      <c r="V189" s="83"/>
      <c r="W189" s="83"/>
      <c r="X189" s="84"/>
      <c r="Y189" s="84"/>
    </row>
    <row r="190" spans="2:25" s="74" customFormat="1">
      <c r="B190" s="140" t="str">
        <f t="shared" si="61"/>
        <v>PA-03</v>
      </c>
      <c r="C190" s="140">
        <f t="shared" si="61"/>
        <v>78315</v>
      </c>
      <c r="D190" s="135">
        <f t="shared" si="61"/>
        <v>24.96</v>
      </c>
      <c r="E190" s="135">
        <f t="shared" si="62"/>
        <v>0.32400000000000001</v>
      </c>
      <c r="F190" s="135">
        <f t="shared" si="63"/>
        <v>1</v>
      </c>
      <c r="G190" s="135">
        <f t="shared" si="64"/>
        <v>34.220095529295094</v>
      </c>
      <c r="H190" s="132">
        <v>0.1</v>
      </c>
      <c r="I190" s="156">
        <v>11000</v>
      </c>
      <c r="J190" s="52">
        <v>1.0629999999999999</v>
      </c>
      <c r="K190" s="140">
        <f t="shared" si="67"/>
        <v>11693</v>
      </c>
      <c r="L190" s="135">
        <f t="shared" si="68"/>
        <v>0.66400305573293705</v>
      </c>
      <c r="M190" s="81"/>
      <c r="N190" s="243">
        <f t="shared" si="65"/>
        <v>1.7636363636363637</v>
      </c>
      <c r="O190" s="243">
        <f t="shared" si="66"/>
        <v>3.0864197530864197</v>
      </c>
      <c r="P190" s="82"/>
      <c r="Q190" s="82"/>
      <c r="R190" s="83"/>
      <c r="S190" s="82"/>
      <c r="T190" s="83"/>
      <c r="U190" s="83"/>
      <c r="V190" s="83"/>
      <c r="W190" s="83"/>
      <c r="X190" s="84"/>
      <c r="Y190" s="84"/>
    </row>
    <row r="191" spans="2:25" s="74" customFormat="1">
      <c r="B191" s="140" t="str">
        <f t="shared" si="61"/>
        <v>PA-04</v>
      </c>
      <c r="C191" s="140">
        <f t="shared" si="61"/>
        <v>78059</v>
      </c>
      <c r="D191" s="135">
        <f t="shared" si="61"/>
        <v>8.75</v>
      </c>
      <c r="E191" s="135">
        <f t="shared" si="62"/>
        <v>0.32400000000000001</v>
      </c>
      <c r="F191" s="135">
        <f t="shared" si="63"/>
        <v>1</v>
      </c>
      <c r="G191" s="135">
        <f t="shared" si="64"/>
        <v>31.401438154347687</v>
      </c>
      <c r="H191" s="132">
        <v>0.1</v>
      </c>
      <c r="I191" s="156">
        <v>11000</v>
      </c>
      <c r="J191" s="52">
        <v>1.0629999999999999</v>
      </c>
      <c r="K191" s="140">
        <f t="shared" si="67"/>
        <v>11693</v>
      </c>
      <c r="L191" s="135">
        <f t="shared" si="68"/>
        <v>0.60931013097394504</v>
      </c>
      <c r="M191" s="81"/>
      <c r="N191" s="243">
        <f t="shared" si="65"/>
        <v>1.7636363636363637</v>
      </c>
      <c r="O191" s="243">
        <f t="shared" si="66"/>
        <v>3.0864197530864197</v>
      </c>
      <c r="P191" s="82"/>
      <c r="Q191" s="82"/>
      <c r="R191" s="83"/>
      <c r="S191" s="82"/>
      <c r="T191" s="83"/>
      <c r="U191" s="83"/>
      <c r="V191" s="83"/>
      <c r="W191" s="83"/>
      <c r="X191" s="84"/>
      <c r="Y191" s="84"/>
    </row>
    <row r="192" spans="2:25" s="74" customFormat="1">
      <c r="B192" s="140" t="str">
        <f t="shared" si="61"/>
        <v>PA-05</v>
      </c>
      <c r="C192" s="140">
        <f t="shared" si="61"/>
        <v>78819</v>
      </c>
      <c r="D192" s="135">
        <f t="shared" si="61"/>
        <v>11.14</v>
      </c>
      <c r="E192" s="135">
        <f t="shared" si="62"/>
        <v>0.32400000000000001</v>
      </c>
      <c r="F192" s="135">
        <f t="shared" si="63"/>
        <v>1</v>
      </c>
      <c r="G192" s="135">
        <f t="shared" si="64"/>
        <v>33.881254438252157</v>
      </c>
      <c r="H192" s="132">
        <v>0.1</v>
      </c>
      <c r="I192" s="156">
        <v>11000</v>
      </c>
      <c r="J192" s="52">
        <v>1.0629999999999999</v>
      </c>
      <c r="K192" s="140">
        <f t="shared" si="67"/>
        <v>11693</v>
      </c>
      <c r="L192" s="135">
        <f t="shared" si="68"/>
        <v>0.65742821962040243</v>
      </c>
      <c r="M192" s="81"/>
      <c r="N192" s="243">
        <f t="shared" si="65"/>
        <v>1.7636363636363637</v>
      </c>
      <c r="O192" s="243">
        <f t="shared" si="66"/>
        <v>3.0864197530864197</v>
      </c>
      <c r="P192" s="82"/>
      <c r="Q192" s="82"/>
      <c r="R192" s="83"/>
      <c r="S192" s="82"/>
      <c r="T192" s="83"/>
      <c r="U192" s="83"/>
      <c r="V192" s="83"/>
      <c r="W192" s="83"/>
      <c r="X192" s="84"/>
      <c r="Y192" s="84"/>
    </row>
    <row r="193" spans="2:25" s="74" customFormat="1">
      <c r="B193" s="140" t="str">
        <f t="shared" si="61"/>
        <v>PA-06</v>
      </c>
      <c r="C193" s="140">
        <f t="shared" si="61"/>
        <v>78812</v>
      </c>
      <c r="D193" s="135">
        <f t="shared" si="61"/>
        <v>8.59</v>
      </c>
      <c r="E193" s="135">
        <f t="shared" si="62"/>
        <v>0.32400000000000001</v>
      </c>
      <c r="F193" s="135">
        <f t="shared" si="63"/>
        <v>1</v>
      </c>
      <c r="G193" s="135">
        <f t="shared" si="64"/>
        <v>33.422047027575971</v>
      </c>
      <c r="H193" s="132">
        <v>0.1</v>
      </c>
      <c r="I193" s="156">
        <v>11000</v>
      </c>
      <c r="J193" s="52">
        <v>1.0629999999999999</v>
      </c>
      <c r="K193" s="140">
        <f t="shared" si="67"/>
        <v>11693</v>
      </c>
      <c r="L193" s="135">
        <f t="shared" si="68"/>
        <v>0.64851780837847106</v>
      </c>
      <c r="M193" s="81"/>
      <c r="N193" s="243">
        <f t="shared" si="65"/>
        <v>1.7636363636363637</v>
      </c>
      <c r="O193" s="243">
        <f t="shared" si="66"/>
        <v>3.0864197530864197</v>
      </c>
      <c r="P193" s="82"/>
      <c r="Q193" s="82"/>
      <c r="R193" s="83"/>
      <c r="S193" s="82"/>
      <c r="T193" s="83"/>
      <c r="U193" s="83"/>
      <c r="V193" s="83"/>
      <c r="W193" s="83"/>
      <c r="X193" s="84"/>
      <c r="Y193" s="84"/>
    </row>
    <row r="194" spans="2:25" s="74" customFormat="1">
      <c r="B194" s="311" t="str">
        <f t="shared" ref="B194" si="69">+B119</f>
        <v>SUMIDEROS</v>
      </c>
      <c r="C194" s="311"/>
      <c r="D194" s="311"/>
      <c r="E194" s="311"/>
      <c r="F194" s="311"/>
      <c r="G194" s="311"/>
      <c r="H194" s="311"/>
      <c r="I194" s="311"/>
      <c r="J194" s="311"/>
      <c r="K194" s="311"/>
      <c r="L194" s="311"/>
      <c r="M194" s="81"/>
      <c r="N194" s="81"/>
      <c r="O194" s="81"/>
      <c r="P194" s="82"/>
      <c r="Q194" s="82"/>
      <c r="R194" s="83"/>
      <c r="S194" s="82"/>
      <c r="T194" s="83"/>
      <c r="U194" s="83"/>
      <c r="V194" s="83"/>
      <c r="W194" s="83"/>
      <c r="X194" s="84"/>
      <c r="Y194" s="84"/>
    </row>
    <row r="195" spans="2:25" s="74" customFormat="1">
      <c r="B195" s="140" t="str">
        <f t="shared" ref="B195:D195" si="70">+B120</f>
        <v>S1</v>
      </c>
      <c r="C195" s="140">
        <f t="shared" si="70"/>
        <v>79804</v>
      </c>
      <c r="D195" s="135">
        <f t="shared" si="70"/>
        <v>8.5</v>
      </c>
      <c r="E195" s="135">
        <f t="shared" ref="E195:E214" si="71">+F120</f>
        <v>0.2732</v>
      </c>
      <c r="F195" s="135">
        <f t="shared" ref="F195:F214" si="72">+H120</f>
        <v>1</v>
      </c>
      <c r="G195" s="135">
        <f t="shared" ref="G195:G214" si="73">K60+L120</f>
        <v>34.750419579138331</v>
      </c>
      <c r="H195" s="132">
        <v>0.1</v>
      </c>
      <c r="I195" s="156">
        <v>11000</v>
      </c>
      <c r="J195" s="52">
        <v>1.04</v>
      </c>
      <c r="K195" s="140">
        <f t="shared" ref="K195:K214" si="74">I195*J195</f>
        <v>11440</v>
      </c>
      <c r="L195" s="135">
        <f>(($D$169*H195*G195)/(IF(E195&lt;=0.5,$D$171,$D$173)+(0.061*K195)))*100</f>
        <v>0.6880292347761604</v>
      </c>
      <c r="M195" s="81"/>
      <c r="N195" s="244">
        <f t="shared" ref="N195:N214" si="75">$D$174/I195</f>
        <v>1.7636363636363637</v>
      </c>
      <c r="O195" s="244">
        <f t="shared" ref="O195:O214" si="76">F195/E195</f>
        <v>3.6603221083455346</v>
      </c>
      <c r="P195" s="82"/>
      <c r="Q195" s="82"/>
      <c r="R195" s="83"/>
      <c r="S195" s="82"/>
      <c r="T195" s="83"/>
      <c r="U195" s="83"/>
      <c r="V195" s="83"/>
      <c r="W195" s="83"/>
      <c r="X195" s="84"/>
      <c r="Y195" s="84"/>
    </row>
    <row r="196" spans="2:25" s="74" customFormat="1">
      <c r="B196" s="140" t="str">
        <f t="shared" ref="B196:D196" si="77">+B121</f>
        <v>S2</v>
      </c>
      <c r="C196" s="140">
        <f t="shared" si="77"/>
        <v>79804</v>
      </c>
      <c r="D196" s="135">
        <f t="shared" si="77"/>
        <v>7.2</v>
      </c>
      <c r="E196" s="135">
        <f t="shared" si="71"/>
        <v>0.2732</v>
      </c>
      <c r="F196" s="135">
        <f t="shared" si="72"/>
        <v>1</v>
      </c>
      <c r="G196" s="135">
        <f t="shared" si="73"/>
        <v>34.750419579138331</v>
      </c>
      <c r="H196" s="132">
        <v>0.1</v>
      </c>
      <c r="I196" s="156">
        <v>11000</v>
      </c>
      <c r="J196" s="52">
        <v>1.04</v>
      </c>
      <c r="K196" s="140">
        <f t="shared" si="74"/>
        <v>11440</v>
      </c>
      <c r="L196" s="135">
        <f t="shared" ref="L196:L214" si="78">(($D$169*H196*G196)/(IF(E196&lt;=0.5,$D$171,$D$173)+(0.061*K196)))*100</f>
        <v>0.6880292347761604</v>
      </c>
      <c r="M196" s="81"/>
      <c r="N196" s="244">
        <f t="shared" si="75"/>
        <v>1.7636363636363637</v>
      </c>
      <c r="O196" s="244">
        <f t="shared" si="76"/>
        <v>3.6603221083455346</v>
      </c>
      <c r="P196" s="82"/>
      <c r="Q196" s="82"/>
      <c r="R196" s="83"/>
      <c r="S196" s="82"/>
      <c r="T196" s="83"/>
      <c r="U196" s="83"/>
      <c r="V196" s="83"/>
      <c r="W196" s="83"/>
      <c r="X196" s="84"/>
      <c r="Y196" s="84"/>
    </row>
    <row r="197" spans="2:25" s="74" customFormat="1">
      <c r="B197" s="140" t="str">
        <f t="shared" ref="B197:D197" si="79">+B122</f>
        <v>S3</v>
      </c>
      <c r="C197" s="140" t="str">
        <f t="shared" si="79"/>
        <v>PA-03</v>
      </c>
      <c r="D197" s="135">
        <f t="shared" si="79"/>
        <v>3.2</v>
      </c>
      <c r="E197" s="135">
        <f t="shared" si="71"/>
        <v>0.2732</v>
      </c>
      <c r="F197" s="135">
        <f t="shared" si="72"/>
        <v>1</v>
      </c>
      <c r="G197" s="135">
        <f t="shared" si="73"/>
        <v>33.389980353256561</v>
      </c>
      <c r="H197" s="132">
        <v>0.1</v>
      </c>
      <c r="I197" s="156">
        <v>11000</v>
      </c>
      <c r="J197" s="52">
        <v>1.04</v>
      </c>
      <c r="K197" s="140">
        <f t="shared" si="74"/>
        <v>11440</v>
      </c>
      <c r="L197" s="135">
        <f t="shared" si="78"/>
        <v>0.66109367627416105</v>
      </c>
      <c r="M197" s="81"/>
      <c r="N197" s="244">
        <f t="shared" si="75"/>
        <v>1.7636363636363637</v>
      </c>
      <c r="O197" s="244">
        <f t="shared" si="76"/>
        <v>3.6603221083455346</v>
      </c>
      <c r="P197" s="82"/>
      <c r="Q197" s="82"/>
      <c r="R197" s="83"/>
      <c r="S197" s="82"/>
      <c r="T197" s="83"/>
      <c r="U197" s="83"/>
      <c r="V197" s="83"/>
      <c r="W197" s="83"/>
      <c r="X197" s="84"/>
      <c r="Y197" s="84"/>
    </row>
    <row r="198" spans="2:25" s="74" customFormat="1">
      <c r="B198" s="140" t="str">
        <f t="shared" ref="B198:D198" si="80">+B123</f>
        <v>S4</v>
      </c>
      <c r="C198" s="140" t="str">
        <f t="shared" si="80"/>
        <v>PA-03</v>
      </c>
      <c r="D198" s="135">
        <f t="shared" si="80"/>
        <v>1.6</v>
      </c>
      <c r="E198" s="135">
        <f t="shared" si="71"/>
        <v>0.2732</v>
      </c>
      <c r="F198" s="135">
        <f t="shared" si="72"/>
        <v>1</v>
      </c>
      <c r="G198" s="135">
        <f t="shared" si="73"/>
        <v>33.703098432375917</v>
      </c>
      <c r="H198" s="132">
        <v>0.1</v>
      </c>
      <c r="I198" s="156">
        <v>11000</v>
      </c>
      <c r="J198" s="52">
        <v>1.04</v>
      </c>
      <c r="K198" s="140">
        <f t="shared" si="74"/>
        <v>11440</v>
      </c>
      <c r="L198" s="135">
        <f t="shared" si="78"/>
        <v>0.66729315227992436</v>
      </c>
      <c r="M198" s="81"/>
      <c r="N198" s="244">
        <f t="shared" si="75"/>
        <v>1.7636363636363637</v>
      </c>
      <c r="O198" s="244">
        <f t="shared" si="76"/>
        <v>3.6603221083455346</v>
      </c>
      <c r="P198" s="82"/>
      <c r="Q198" s="82"/>
      <c r="R198" s="83"/>
      <c r="S198" s="82"/>
      <c r="T198" s="83"/>
      <c r="U198" s="83"/>
      <c r="V198" s="83"/>
      <c r="W198" s="83"/>
      <c r="X198" s="84"/>
      <c r="Y198" s="84"/>
    </row>
    <row r="199" spans="2:25" s="74" customFormat="1">
      <c r="B199" s="140" t="str">
        <f t="shared" ref="B199:D199" si="81">+B124</f>
        <v>S5</v>
      </c>
      <c r="C199" s="140">
        <f t="shared" si="81"/>
        <v>78315</v>
      </c>
      <c r="D199" s="135">
        <f t="shared" si="81"/>
        <v>12</v>
      </c>
      <c r="E199" s="135">
        <f t="shared" si="71"/>
        <v>0.2732</v>
      </c>
      <c r="F199" s="135">
        <f t="shared" si="72"/>
        <v>1</v>
      </c>
      <c r="G199" s="135">
        <f t="shared" si="73"/>
        <v>31.829193933944374</v>
      </c>
      <c r="H199" s="132">
        <v>0.1</v>
      </c>
      <c r="I199" s="156">
        <v>11000</v>
      </c>
      <c r="J199" s="52">
        <v>1.04</v>
      </c>
      <c r="K199" s="140">
        <f t="shared" si="74"/>
        <v>11440</v>
      </c>
      <c r="L199" s="135">
        <f t="shared" si="78"/>
        <v>0.63019141095667808</v>
      </c>
      <c r="M199" s="81"/>
      <c r="N199" s="244">
        <f t="shared" si="75"/>
        <v>1.7636363636363637</v>
      </c>
      <c r="O199" s="244">
        <f t="shared" si="76"/>
        <v>3.6603221083455346</v>
      </c>
      <c r="P199" s="82"/>
      <c r="Q199" s="82"/>
      <c r="R199" s="83"/>
      <c r="S199" s="82"/>
      <c r="T199" s="83"/>
      <c r="U199" s="83"/>
      <c r="V199" s="83"/>
      <c r="W199" s="83"/>
      <c r="X199" s="84"/>
      <c r="Y199" s="84"/>
    </row>
    <row r="200" spans="2:25" s="74" customFormat="1">
      <c r="B200" s="140" t="str">
        <f t="shared" ref="B200:D200" si="82">+B125</f>
        <v>S6</v>
      </c>
      <c r="C200" s="140">
        <f t="shared" si="82"/>
        <v>78315</v>
      </c>
      <c r="D200" s="135">
        <f t="shared" si="82"/>
        <v>7.1</v>
      </c>
      <c r="E200" s="135">
        <f t="shared" si="71"/>
        <v>0.2732</v>
      </c>
      <c r="F200" s="135">
        <f t="shared" si="72"/>
        <v>1</v>
      </c>
      <c r="G200" s="135">
        <f t="shared" si="73"/>
        <v>31.829193933944374</v>
      </c>
      <c r="H200" s="132">
        <v>0.1</v>
      </c>
      <c r="I200" s="156">
        <v>11000</v>
      </c>
      <c r="J200" s="52">
        <v>1.04</v>
      </c>
      <c r="K200" s="140">
        <f t="shared" si="74"/>
        <v>11440</v>
      </c>
      <c r="L200" s="135">
        <f t="shared" si="78"/>
        <v>0.63019141095667808</v>
      </c>
      <c r="M200" s="81"/>
      <c r="N200" s="244">
        <f t="shared" si="75"/>
        <v>1.7636363636363637</v>
      </c>
      <c r="O200" s="244">
        <f t="shared" si="76"/>
        <v>3.6603221083455346</v>
      </c>
      <c r="P200" s="82"/>
      <c r="Q200" s="82"/>
      <c r="R200" s="83"/>
      <c r="S200" s="82"/>
      <c r="T200" s="83"/>
      <c r="U200" s="83"/>
      <c r="V200" s="83"/>
      <c r="W200" s="83"/>
      <c r="X200" s="84"/>
      <c r="Y200" s="84"/>
    </row>
    <row r="201" spans="2:25" s="74" customFormat="1">
      <c r="B201" s="140" t="str">
        <f t="shared" ref="B201:D201" si="83">+B126</f>
        <v>S7</v>
      </c>
      <c r="C201" s="140" t="str">
        <f t="shared" si="83"/>
        <v>PA-01</v>
      </c>
      <c r="D201" s="135">
        <f t="shared" si="83"/>
        <v>2</v>
      </c>
      <c r="E201" s="135">
        <f t="shared" si="71"/>
        <v>0.2732</v>
      </c>
      <c r="F201" s="135">
        <f t="shared" si="72"/>
        <v>1</v>
      </c>
      <c r="G201" s="135">
        <f t="shared" si="73"/>
        <v>34.750419579138331</v>
      </c>
      <c r="H201" s="132">
        <v>0.1</v>
      </c>
      <c r="I201" s="156">
        <v>11000</v>
      </c>
      <c r="J201" s="52">
        <v>1.04</v>
      </c>
      <c r="K201" s="140">
        <f t="shared" si="74"/>
        <v>11440</v>
      </c>
      <c r="L201" s="135">
        <f t="shared" si="78"/>
        <v>0.6880292347761604</v>
      </c>
      <c r="M201" s="81"/>
      <c r="N201" s="244">
        <f t="shared" si="75"/>
        <v>1.7636363636363637</v>
      </c>
      <c r="O201" s="244">
        <f t="shared" si="76"/>
        <v>3.6603221083455346</v>
      </c>
      <c r="P201" s="82"/>
      <c r="Q201" s="82"/>
      <c r="R201" s="83"/>
      <c r="S201" s="82"/>
      <c r="T201" s="83"/>
      <c r="U201" s="83"/>
      <c r="V201" s="83"/>
      <c r="W201" s="83"/>
      <c r="X201" s="84"/>
      <c r="Y201" s="84"/>
    </row>
    <row r="202" spans="2:25" s="74" customFormat="1">
      <c r="B202" s="140" t="str">
        <f t="shared" ref="B202:D202" si="84">+B127</f>
        <v>S8</v>
      </c>
      <c r="C202" s="140" t="str">
        <f t="shared" si="84"/>
        <v>PA-01</v>
      </c>
      <c r="D202" s="135">
        <f t="shared" si="84"/>
        <v>3.1</v>
      </c>
      <c r="E202" s="135">
        <f t="shared" si="71"/>
        <v>0.2732</v>
      </c>
      <c r="F202" s="135">
        <f t="shared" si="72"/>
        <v>1</v>
      </c>
      <c r="G202" s="135">
        <f t="shared" si="73"/>
        <v>34.750419579138331</v>
      </c>
      <c r="H202" s="132">
        <v>0.1</v>
      </c>
      <c r="I202" s="156">
        <v>11000</v>
      </c>
      <c r="J202" s="52">
        <v>1.04</v>
      </c>
      <c r="K202" s="140">
        <f t="shared" si="74"/>
        <v>11440</v>
      </c>
      <c r="L202" s="135">
        <f t="shared" si="78"/>
        <v>0.6880292347761604</v>
      </c>
      <c r="M202" s="81"/>
      <c r="N202" s="244">
        <f t="shared" si="75"/>
        <v>1.7636363636363637</v>
      </c>
      <c r="O202" s="244">
        <f t="shared" si="76"/>
        <v>3.6603221083455346</v>
      </c>
      <c r="P202" s="82"/>
      <c r="Q202" s="82"/>
      <c r="R202" s="83"/>
      <c r="S202" s="82"/>
      <c r="T202" s="83"/>
      <c r="U202" s="83"/>
      <c r="V202" s="83"/>
      <c r="W202" s="83"/>
      <c r="X202" s="84"/>
      <c r="Y202" s="84"/>
    </row>
    <row r="203" spans="2:25" s="74" customFormat="1">
      <c r="B203" s="140" t="str">
        <f t="shared" ref="B203:D203" si="85">+B128</f>
        <v>S9</v>
      </c>
      <c r="C203" s="140" t="str">
        <f t="shared" si="85"/>
        <v>PA-02</v>
      </c>
      <c r="D203" s="135">
        <f t="shared" si="85"/>
        <v>2.1</v>
      </c>
      <c r="E203" s="135">
        <f t="shared" si="71"/>
        <v>0.2732</v>
      </c>
      <c r="F203" s="135">
        <f t="shared" si="72"/>
        <v>1</v>
      </c>
      <c r="G203" s="135">
        <f t="shared" si="73"/>
        <v>33.596844616073611</v>
      </c>
      <c r="H203" s="132">
        <v>0.1</v>
      </c>
      <c r="I203" s="156">
        <v>11000</v>
      </c>
      <c r="J203" s="52">
        <v>1.04</v>
      </c>
      <c r="K203" s="140">
        <f t="shared" si="74"/>
        <v>11440</v>
      </c>
      <c r="L203" s="135">
        <f t="shared" si="78"/>
        <v>0.66518941561119038</v>
      </c>
      <c r="M203" s="81"/>
      <c r="N203" s="244">
        <f t="shared" si="75"/>
        <v>1.7636363636363637</v>
      </c>
      <c r="O203" s="244">
        <f t="shared" si="76"/>
        <v>3.6603221083455346</v>
      </c>
      <c r="P203" s="82"/>
      <c r="Q203" s="82"/>
      <c r="R203" s="83"/>
      <c r="S203" s="82"/>
      <c r="T203" s="83"/>
      <c r="U203" s="83"/>
      <c r="V203" s="83"/>
      <c r="W203" s="83"/>
      <c r="X203" s="84"/>
      <c r="Y203" s="84"/>
    </row>
    <row r="204" spans="2:25" s="74" customFormat="1">
      <c r="B204" s="140" t="str">
        <f t="shared" ref="B204:D204" si="86">+B129</f>
        <v>S10</v>
      </c>
      <c r="C204" s="140" t="str">
        <f t="shared" si="86"/>
        <v>PA-02</v>
      </c>
      <c r="D204" s="135">
        <f t="shared" si="86"/>
        <v>3.1</v>
      </c>
      <c r="E204" s="135">
        <f t="shared" si="71"/>
        <v>0.2732</v>
      </c>
      <c r="F204" s="135">
        <f t="shared" si="72"/>
        <v>1</v>
      </c>
      <c r="G204" s="135">
        <f t="shared" si="73"/>
        <v>34.750419579138331</v>
      </c>
      <c r="H204" s="132">
        <v>0.1</v>
      </c>
      <c r="I204" s="156">
        <v>11000</v>
      </c>
      <c r="J204" s="52">
        <v>1.04</v>
      </c>
      <c r="K204" s="140">
        <f t="shared" si="74"/>
        <v>11440</v>
      </c>
      <c r="L204" s="135">
        <f t="shared" si="78"/>
        <v>0.6880292347761604</v>
      </c>
      <c r="M204" s="81"/>
      <c r="N204" s="244">
        <f t="shared" si="75"/>
        <v>1.7636363636363637</v>
      </c>
      <c r="O204" s="244">
        <f t="shared" si="76"/>
        <v>3.6603221083455346</v>
      </c>
      <c r="P204" s="82"/>
      <c r="Q204" s="82"/>
      <c r="R204" s="83"/>
      <c r="S204" s="82"/>
      <c r="T204" s="83"/>
      <c r="U204" s="83"/>
      <c r="V204" s="83"/>
      <c r="W204" s="83"/>
      <c r="X204" s="84"/>
      <c r="Y204" s="84"/>
    </row>
    <row r="205" spans="2:25" s="74" customFormat="1">
      <c r="B205" s="140" t="str">
        <f t="shared" ref="B205:D205" si="87">+B130</f>
        <v>S11</v>
      </c>
      <c r="C205" s="140">
        <f t="shared" si="87"/>
        <v>78059</v>
      </c>
      <c r="D205" s="135">
        <f t="shared" si="87"/>
        <v>8.1</v>
      </c>
      <c r="E205" s="135">
        <f t="shared" si="71"/>
        <v>0.2732</v>
      </c>
      <c r="F205" s="135">
        <f t="shared" si="72"/>
        <v>1</v>
      </c>
      <c r="G205" s="135">
        <f t="shared" si="73"/>
        <v>35.690958433715693</v>
      </c>
      <c r="H205" s="132">
        <v>0.1</v>
      </c>
      <c r="I205" s="156">
        <v>11000</v>
      </c>
      <c r="J205" s="52">
        <v>1.04</v>
      </c>
      <c r="K205" s="140">
        <f t="shared" si="74"/>
        <v>11440</v>
      </c>
      <c r="L205" s="135">
        <f t="shared" si="78"/>
        <v>0.70665111722331775</v>
      </c>
      <c r="M205" s="81"/>
      <c r="N205" s="244">
        <f t="shared" si="75"/>
        <v>1.7636363636363637</v>
      </c>
      <c r="O205" s="244">
        <f t="shared" si="76"/>
        <v>3.6603221083455346</v>
      </c>
      <c r="P205" s="82"/>
      <c r="Q205" s="82"/>
      <c r="R205" s="83"/>
      <c r="S205" s="82"/>
      <c r="T205" s="83"/>
      <c r="U205" s="83"/>
      <c r="V205" s="83"/>
      <c r="W205" s="83"/>
      <c r="X205" s="84"/>
      <c r="Y205" s="84"/>
    </row>
    <row r="206" spans="2:25" s="74" customFormat="1">
      <c r="B206" s="140" t="str">
        <f t="shared" ref="B206:D206" si="88">+B131</f>
        <v>S12</v>
      </c>
      <c r="C206" s="140">
        <f t="shared" si="88"/>
        <v>78059</v>
      </c>
      <c r="D206" s="135">
        <f t="shared" si="88"/>
        <v>6.2</v>
      </c>
      <c r="E206" s="135">
        <f t="shared" si="71"/>
        <v>0.2732</v>
      </c>
      <c r="F206" s="135">
        <f t="shared" si="72"/>
        <v>1</v>
      </c>
      <c r="G206" s="135">
        <f t="shared" si="73"/>
        <v>35.409965038064591</v>
      </c>
      <c r="H206" s="132">
        <v>0.1</v>
      </c>
      <c r="I206" s="156">
        <v>11000</v>
      </c>
      <c r="J206" s="52">
        <v>1.04</v>
      </c>
      <c r="K206" s="140">
        <f t="shared" si="74"/>
        <v>11440</v>
      </c>
      <c r="L206" s="135">
        <f t="shared" si="78"/>
        <v>0.70108768307407821</v>
      </c>
      <c r="M206" s="81"/>
      <c r="N206" s="244">
        <f t="shared" si="75"/>
        <v>1.7636363636363637</v>
      </c>
      <c r="O206" s="244">
        <f t="shared" si="76"/>
        <v>3.6603221083455346</v>
      </c>
      <c r="P206" s="82"/>
      <c r="Q206" s="82"/>
      <c r="R206" s="83"/>
      <c r="S206" s="82"/>
      <c r="T206" s="83"/>
      <c r="U206" s="83"/>
      <c r="V206" s="83"/>
      <c r="W206" s="83"/>
      <c r="X206" s="84"/>
      <c r="Y206" s="84"/>
    </row>
    <row r="207" spans="2:25" s="74" customFormat="1">
      <c r="B207" s="140" t="str">
        <f t="shared" ref="B207:D207" si="89">+B132</f>
        <v>S13</v>
      </c>
      <c r="C207" s="140">
        <f t="shared" si="89"/>
        <v>79319</v>
      </c>
      <c r="D207" s="135">
        <f t="shared" si="89"/>
        <v>3.3</v>
      </c>
      <c r="E207" s="135">
        <f t="shared" si="71"/>
        <v>0.2732</v>
      </c>
      <c r="F207" s="135">
        <f t="shared" si="72"/>
        <v>1</v>
      </c>
      <c r="G207" s="135">
        <f t="shared" si="73"/>
        <v>33.596844616073611</v>
      </c>
      <c r="H207" s="132">
        <v>0.1</v>
      </c>
      <c r="I207" s="156">
        <v>11000</v>
      </c>
      <c r="J207" s="52">
        <v>1.04</v>
      </c>
      <c r="K207" s="140">
        <f t="shared" si="74"/>
        <v>11440</v>
      </c>
      <c r="L207" s="135">
        <f t="shared" si="78"/>
        <v>0.66518941561119038</v>
      </c>
      <c r="M207" s="81"/>
      <c r="N207" s="244">
        <f t="shared" si="75"/>
        <v>1.7636363636363637</v>
      </c>
      <c r="O207" s="244">
        <f t="shared" si="76"/>
        <v>3.6603221083455346</v>
      </c>
      <c r="P207" s="82"/>
      <c r="Q207" s="82"/>
      <c r="R207" s="83"/>
      <c r="S207" s="82"/>
      <c r="T207" s="83"/>
      <c r="U207" s="83"/>
      <c r="V207" s="83"/>
      <c r="W207" s="83"/>
      <c r="X207" s="84"/>
      <c r="Y207" s="84"/>
    </row>
    <row r="208" spans="2:25" s="74" customFormat="1">
      <c r="B208" s="140" t="str">
        <f t="shared" ref="B208:D208" si="90">+B133</f>
        <v>S14</v>
      </c>
      <c r="C208" s="140">
        <f t="shared" si="90"/>
        <v>79319</v>
      </c>
      <c r="D208" s="135">
        <f t="shared" si="90"/>
        <v>4</v>
      </c>
      <c r="E208" s="135">
        <f t="shared" si="71"/>
        <v>0.2732</v>
      </c>
      <c r="F208" s="135">
        <f t="shared" si="72"/>
        <v>1</v>
      </c>
      <c r="G208" s="135">
        <f t="shared" si="73"/>
        <v>33.596844616073611</v>
      </c>
      <c r="H208" s="132">
        <v>0.1</v>
      </c>
      <c r="I208" s="156">
        <v>11000</v>
      </c>
      <c r="J208" s="52">
        <v>1.04</v>
      </c>
      <c r="K208" s="140">
        <f t="shared" si="74"/>
        <v>11440</v>
      </c>
      <c r="L208" s="135">
        <f t="shared" si="78"/>
        <v>0.66518941561119038</v>
      </c>
      <c r="M208" s="81"/>
      <c r="N208" s="244">
        <f t="shared" si="75"/>
        <v>1.7636363636363637</v>
      </c>
      <c r="O208" s="244">
        <f t="shared" si="76"/>
        <v>3.6603221083455346</v>
      </c>
      <c r="P208" s="82"/>
      <c r="Q208" s="82"/>
      <c r="R208" s="83"/>
      <c r="S208" s="82"/>
      <c r="T208" s="83"/>
      <c r="U208" s="83"/>
      <c r="V208" s="83"/>
      <c r="W208" s="83"/>
      <c r="X208" s="84"/>
      <c r="Y208" s="84"/>
    </row>
    <row r="209" spans="1:26" s="74" customFormat="1">
      <c r="B209" s="140" t="str">
        <f t="shared" ref="B209:D209" si="91">+B134</f>
        <v>S15</v>
      </c>
      <c r="C209" s="140">
        <f t="shared" si="91"/>
        <v>78819</v>
      </c>
      <c r="D209" s="135">
        <f t="shared" si="91"/>
        <v>1.9</v>
      </c>
      <c r="E209" s="135">
        <f t="shared" si="71"/>
        <v>0.2732</v>
      </c>
      <c r="F209" s="135">
        <f t="shared" si="72"/>
        <v>1</v>
      </c>
      <c r="G209" s="135">
        <f t="shared" si="73"/>
        <v>34.877607744547774</v>
      </c>
      <c r="H209" s="132">
        <v>0.1</v>
      </c>
      <c r="I209" s="156">
        <v>11000</v>
      </c>
      <c r="J209" s="52">
        <v>1.04</v>
      </c>
      <c r="K209" s="140">
        <f t="shared" si="74"/>
        <v>11440</v>
      </c>
      <c r="L209" s="135">
        <f t="shared" si="78"/>
        <v>0.69054745404312368</v>
      </c>
      <c r="M209" s="81"/>
      <c r="N209" s="244">
        <f t="shared" si="75"/>
        <v>1.7636363636363637</v>
      </c>
      <c r="O209" s="244">
        <f t="shared" si="76"/>
        <v>3.6603221083455346</v>
      </c>
      <c r="P209" s="82"/>
      <c r="Q209" s="82"/>
      <c r="R209" s="83"/>
      <c r="S209" s="82"/>
      <c r="T209" s="83"/>
      <c r="U209" s="83"/>
      <c r="V209" s="83"/>
      <c r="W209" s="83"/>
      <c r="X209" s="84"/>
      <c r="Y209" s="84"/>
    </row>
    <row r="210" spans="1:26" s="74" customFormat="1">
      <c r="B210" s="140" t="str">
        <f t="shared" ref="B210:D210" si="92">+B135</f>
        <v>S16</v>
      </c>
      <c r="C210" s="140">
        <f t="shared" si="92"/>
        <v>78819</v>
      </c>
      <c r="D210" s="135">
        <f t="shared" si="92"/>
        <v>5.3</v>
      </c>
      <c r="E210" s="135">
        <f t="shared" si="71"/>
        <v>0.2732</v>
      </c>
      <c r="F210" s="135">
        <f t="shared" si="72"/>
        <v>1</v>
      </c>
      <c r="G210" s="135">
        <f t="shared" si="73"/>
        <v>33.190423189783971</v>
      </c>
      <c r="H210" s="132">
        <v>0.1</v>
      </c>
      <c r="I210" s="156">
        <v>11000</v>
      </c>
      <c r="J210" s="52">
        <v>1.04</v>
      </c>
      <c r="K210" s="140">
        <f t="shared" si="74"/>
        <v>11440</v>
      </c>
      <c r="L210" s="135">
        <f t="shared" si="78"/>
        <v>0.65714261139088781</v>
      </c>
      <c r="M210" s="81"/>
      <c r="N210" s="244">
        <f t="shared" si="75"/>
        <v>1.7636363636363637</v>
      </c>
      <c r="O210" s="244">
        <f t="shared" si="76"/>
        <v>3.6603221083455346</v>
      </c>
      <c r="P210" s="82"/>
      <c r="Q210" s="82"/>
      <c r="R210" s="83"/>
      <c r="S210" s="82"/>
      <c r="T210" s="83"/>
      <c r="U210" s="83"/>
      <c r="V210" s="83"/>
      <c r="W210" s="83"/>
      <c r="X210" s="84"/>
      <c r="Y210" s="84"/>
    </row>
    <row r="211" spans="1:26" s="74" customFormat="1">
      <c r="B211" s="140" t="str">
        <f t="shared" ref="B211:D211" si="93">+B136</f>
        <v>S17</v>
      </c>
      <c r="C211" s="140">
        <f t="shared" si="93"/>
        <v>78819</v>
      </c>
      <c r="D211" s="135">
        <f t="shared" si="93"/>
        <v>2.6</v>
      </c>
      <c r="E211" s="135">
        <f t="shared" si="71"/>
        <v>0.2732</v>
      </c>
      <c r="F211" s="135">
        <f t="shared" si="72"/>
        <v>1</v>
      </c>
      <c r="G211" s="135">
        <f t="shared" si="73"/>
        <v>34.625503393518557</v>
      </c>
      <c r="H211" s="132">
        <v>0.1</v>
      </c>
      <c r="I211" s="156">
        <v>11000</v>
      </c>
      <c r="J211" s="52">
        <v>1.04</v>
      </c>
      <c r="K211" s="140">
        <f t="shared" si="74"/>
        <v>11440</v>
      </c>
      <c r="L211" s="135">
        <f t="shared" si="78"/>
        <v>0.68555599880824925</v>
      </c>
      <c r="M211" s="81"/>
      <c r="N211" s="244">
        <f t="shared" si="75"/>
        <v>1.7636363636363637</v>
      </c>
      <c r="O211" s="244">
        <f t="shared" si="76"/>
        <v>3.6603221083455346</v>
      </c>
      <c r="P211" s="82"/>
      <c r="Q211" s="82"/>
      <c r="R211" s="83"/>
      <c r="S211" s="82"/>
      <c r="T211" s="83"/>
      <c r="U211" s="83"/>
      <c r="V211" s="83"/>
      <c r="W211" s="83"/>
      <c r="X211" s="84"/>
      <c r="Y211" s="84"/>
    </row>
    <row r="212" spans="1:26" s="74" customFormat="1">
      <c r="B212" s="140" t="str">
        <f t="shared" ref="B212:D212" si="94">+B137</f>
        <v>S18</v>
      </c>
      <c r="C212" s="140">
        <f t="shared" si="94"/>
        <v>78819</v>
      </c>
      <c r="D212" s="135">
        <f t="shared" si="94"/>
        <v>3</v>
      </c>
      <c r="E212" s="135">
        <f t="shared" si="71"/>
        <v>0.2732</v>
      </c>
      <c r="F212" s="135">
        <f t="shared" si="72"/>
        <v>1</v>
      </c>
      <c r="G212" s="135">
        <f t="shared" si="73"/>
        <v>34.625503393518557</v>
      </c>
      <c r="H212" s="132">
        <v>0.1</v>
      </c>
      <c r="I212" s="156">
        <v>11000</v>
      </c>
      <c r="J212" s="52">
        <v>1.04</v>
      </c>
      <c r="K212" s="140">
        <f t="shared" si="74"/>
        <v>11440</v>
      </c>
      <c r="L212" s="135">
        <f t="shared" si="78"/>
        <v>0.68555599880824925</v>
      </c>
      <c r="M212" s="81"/>
      <c r="N212" s="244">
        <f t="shared" si="75"/>
        <v>1.7636363636363637</v>
      </c>
      <c r="O212" s="244">
        <f t="shared" si="76"/>
        <v>3.6603221083455346</v>
      </c>
      <c r="P212" s="82"/>
      <c r="Q212" s="82"/>
      <c r="R212" s="83"/>
      <c r="S212" s="82"/>
      <c r="T212" s="83"/>
      <c r="U212" s="83"/>
      <c r="V212" s="83"/>
      <c r="W212" s="83"/>
      <c r="X212" s="84"/>
      <c r="Y212" s="84"/>
    </row>
    <row r="213" spans="1:26" s="74" customFormat="1">
      <c r="B213" s="140" t="str">
        <f t="shared" ref="B213:D213" si="95">+B138</f>
        <v>S19</v>
      </c>
      <c r="C213" s="140">
        <f t="shared" si="95"/>
        <v>78059</v>
      </c>
      <c r="D213" s="135">
        <f t="shared" si="95"/>
        <v>1.4</v>
      </c>
      <c r="E213" s="135">
        <f t="shared" si="71"/>
        <v>0.2732</v>
      </c>
      <c r="F213" s="135">
        <f t="shared" si="72"/>
        <v>1</v>
      </c>
      <c r="G213" s="135">
        <f t="shared" si="73"/>
        <v>31.160913917455488</v>
      </c>
      <c r="H213" s="132">
        <v>0.1</v>
      </c>
      <c r="I213" s="156">
        <v>11000</v>
      </c>
      <c r="J213" s="52">
        <v>1.04</v>
      </c>
      <c r="K213" s="140">
        <f t="shared" si="74"/>
        <v>11440</v>
      </c>
      <c r="L213" s="135">
        <f t="shared" si="78"/>
        <v>0.61696002572652464</v>
      </c>
      <c r="M213" s="81"/>
      <c r="N213" s="244">
        <f t="shared" si="75"/>
        <v>1.7636363636363637</v>
      </c>
      <c r="O213" s="244">
        <f t="shared" si="76"/>
        <v>3.6603221083455346</v>
      </c>
      <c r="P213" s="82"/>
      <c r="Q213" s="82"/>
      <c r="R213" s="83"/>
      <c r="S213" s="82"/>
      <c r="T213" s="83"/>
      <c r="U213" s="83"/>
      <c r="V213" s="83"/>
      <c r="W213" s="83"/>
      <c r="X213" s="84"/>
      <c r="Y213" s="84"/>
    </row>
    <row r="214" spans="1:26" s="74" customFormat="1">
      <c r="B214" s="140" t="str">
        <f t="shared" ref="B214:D214" si="96">+B139</f>
        <v>S20</v>
      </c>
      <c r="C214" s="140">
        <f t="shared" si="96"/>
        <v>78059</v>
      </c>
      <c r="D214" s="135">
        <f t="shared" si="96"/>
        <v>7.1</v>
      </c>
      <c r="E214" s="135">
        <f t="shared" si="71"/>
        <v>0.2732</v>
      </c>
      <c r="F214" s="135">
        <f t="shared" si="72"/>
        <v>1</v>
      </c>
      <c r="G214" s="135">
        <f t="shared" si="73"/>
        <v>31.160913917455488</v>
      </c>
      <c r="H214" s="132">
        <v>0.1</v>
      </c>
      <c r="I214" s="156">
        <v>11000</v>
      </c>
      <c r="J214" s="52">
        <v>1.04</v>
      </c>
      <c r="K214" s="140">
        <f t="shared" si="74"/>
        <v>11440</v>
      </c>
      <c r="L214" s="135">
        <f t="shared" si="78"/>
        <v>0.61696002572652464</v>
      </c>
      <c r="M214" s="81"/>
      <c r="N214" s="244">
        <f t="shared" si="75"/>
        <v>1.7636363636363637</v>
      </c>
      <c r="O214" s="244">
        <f t="shared" si="76"/>
        <v>3.6603221083455346</v>
      </c>
      <c r="P214" s="82"/>
      <c r="Q214" s="82"/>
      <c r="R214" s="83"/>
      <c r="S214" s="82"/>
      <c r="T214" s="83"/>
      <c r="U214" s="83"/>
      <c r="V214" s="83"/>
      <c r="W214" s="83"/>
      <c r="X214" s="84"/>
      <c r="Y214" s="84"/>
    </row>
    <row r="215" spans="1:26" s="74" customFormat="1" ht="11.25">
      <c r="N215" s="81"/>
      <c r="O215" s="81"/>
      <c r="P215" s="82"/>
      <c r="Q215" s="82"/>
      <c r="R215" s="83"/>
      <c r="S215" s="82"/>
      <c r="T215" s="83"/>
      <c r="U215" s="83"/>
      <c r="V215" s="83"/>
      <c r="W215" s="83"/>
      <c r="X215" s="84"/>
      <c r="Y215" s="84"/>
    </row>
    <row r="216" spans="1:26" ht="37.5" customHeight="1">
      <c r="A216" s="288" t="s">
        <v>106</v>
      </c>
      <c r="B216" s="288"/>
      <c r="C216" s="288"/>
      <c r="D216" s="288"/>
      <c r="E216" s="288"/>
      <c r="F216" s="288"/>
      <c r="G216" s="288"/>
      <c r="H216" s="288"/>
      <c r="I216" s="288"/>
      <c r="J216" s="288"/>
      <c r="K216" s="288"/>
      <c r="L216" s="288"/>
      <c r="M216" s="288"/>
      <c r="V216" s="83"/>
      <c r="W216" s="83"/>
    </row>
    <row r="217" spans="1:26">
      <c r="N217" s="301" t="s">
        <v>351</v>
      </c>
      <c r="O217" s="301"/>
      <c r="P217" s="301"/>
      <c r="Q217" s="301"/>
      <c r="R217" s="301"/>
      <c r="S217" s="301"/>
      <c r="U217" s="301" t="s">
        <v>353</v>
      </c>
      <c r="V217" s="301"/>
      <c r="W217" s="301"/>
      <c r="X217" s="301"/>
      <c r="Y217" s="301"/>
      <c r="Z217" s="301"/>
    </row>
    <row r="218" spans="1:26">
      <c r="A218" s="19" t="s">
        <v>60</v>
      </c>
      <c r="N218" s="198" t="s">
        <v>50</v>
      </c>
      <c r="O218" s="198" t="s">
        <v>47</v>
      </c>
      <c r="P218" s="235" t="s">
        <v>50</v>
      </c>
      <c r="Q218" s="235" t="s">
        <v>47</v>
      </c>
      <c r="R218" s="235" t="s">
        <v>51</v>
      </c>
      <c r="S218" s="235" t="s">
        <v>47</v>
      </c>
      <c r="U218" s="198" t="s">
        <v>50</v>
      </c>
      <c r="V218" s="198" t="s">
        <v>47</v>
      </c>
      <c r="W218" s="235" t="s">
        <v>50</v>
      </c>
      <c r="X218" s="235" t="s">
        <v>47</v>
      </c>
      <c r="Y218" s="235" t="s">
        <v>51</v>
      </c>
      <c r="Z218" s="235" t="s">
        <v>47</v>
      </c>
    </row>
    <row r="219" spans="1:26">
      <c r="N219" s="235">
        <v>1.5</v>
      </c>
      <c r="O219" s="235">
        <v>1.03</v>
      </c>
      <c r="P219" s="235">
        <f>+N219</f>
        <v>1.5</v>
      </c>
      <c r="Q219" s="235">
        <v>1</v>
      </c>
      <c r="R219" s="235">
        <v>3</v>
      </c>
      <c r="S219" s="235">
        <f>+O220</f>
        <v>1.0664</v>
      </c>
      <c r="U219" s="235">
        <v>1.5</v>
      </c>
      <c r="V219" s="235">
        <v>1.03</v>
      </c>
      <c r="W219" s="235">
        <f>+U219</f>
        <v>1.5</v>
      </c>
      <c r="X219" s="235">
        <v>1</v>
      </c>
      <c r="Y219" s="235">
        <v>3</v>
      </c>
      <c r="Z219" s="235">
        <f>+V220</f>
        <v>1.0664</v>
      </c>
    </row>
    <row r="220" spans="1:26">
      <c r="A220" s="298" t="s">
        <v>115</v>
      </c>
      <c r="B220" s="298"/>
      <c r="C220" s="298"/>
      <c r="D220" s="298"/>
      <c r="E220" s="298"/>
      <c r="F220" s="298"/>
      <c r="G220" s="298"/>
      <c r="H220" s="298"/>
      <c r="I220" s="298"/>
      <c r="J220" s="298"/>
      <c r="K220" s="298"/>
      <c r="L220" s="298"/>
      <c r="M220" s="298"/>
      <c r="N220" s="236">
        <v>1.76</v>
      </c>
      <c r="O220" s="237">
        <v>1.0664</v>
      </c>
      <c r="P220" s="236">
        <f>+N220</f>
        <v>1.76</v>
      </c>
      <c r="Q220" s="237">
        <v>1.026</v>
      </c>
      <c r="R220" s="236">
        <v>3.66</v>
      </c>
      <c r="S220" s="238">
        <v>1.039736</v>
      </c>
      <c r="U220" s="236">
        <v>1.76</v>
      </c>
      <c r="V220" s="237">
        <v>1.0664</v>
      </c>
      <c r="W220" s="236">
        <f>+U220</f>
        <v>1.76</v>
      </c>
      <c r="X220" s="237">
        <v>1.026</v>
      </c>
      <c r="Y220" s="236">
        <v>3.09</v>
      </c>
      <c r="Z220" s="247">
        <v>1.062764</v>
      </c>
    </row>
    <row r="221" spans="1:26">
      <c r="A221" s="298"/>
      <c r="B221" s="298"/>
      <c r="C221" s="298"/>
      <c r="D221" s="298"/>
      <c r="E221" s="298"/>
      <c r="F221" s="298"/>
      <c r="G221" s="298"/>
      <c r="H221" s="298"/>
      <c r="I221" s="298"/>
      <c r="J221" s="298"/>
      <c r="K221" s="298"/>
      <c r="L221" s="298"/>
      <c r="M221" s="298"/>
      <c r="N221" s="235">
        <v>2</v>
      </c>
      <c r="O221" s="235">
        <v>1.1000000000000001</v>
      </c>
      <c r="P221" s="235">
        <f>+N221</f>
        <v>2</v>
      </c>
      <c r="Q221" s="235">
        <v>1.05</v>
      </c>
      <c r="R221" s="235">
        <v>4</v>
      </c>
      <c r="S221" s="235">
        <f>+Q220</f>
        <v>1.026</v>
      </c>
      <c r="U221" s="235">
        <v>2</v>
      </c>
      <c r="V221" s="235">
        <v>1.1000000000000001</v>
      </c>
      <c r="W221" s="235">
        <f>+U221</f>
        <v>2</v>
      </c>
      <c r="X221" s="235">
        <v>1.05</v>
      </c>
      <c r="Y221" s="235">
        <v>4</v>
      </c>
      <c r="Z221" s="235">
        <f>+X220</f>
        <v>1.026</v>
      </c>
    </row>
    <row r="222" spans="1:26">
      <c r="N222" s="293" t="s">
        <v>327</v>
      </c>
      <c r="O222" s="294"/>
      <c r="P222" s="293" t="s">
        <v>328</v>
      </c>
      <c r="Q222" s="294"/>
      <c r="R222" s="293"/>
      <c r="S222" s="294"/>
      <c r="U222" s="293" t="s">
        <v>348</v>
      </c>
      <c r="V222" s="294"/>
      <c r="W222" s="293" t="s">
        <v>349</v>
      </c>
      <c r="X222" s="294"/>
      <c r="Y222" s="293"/>
      <c r="Z222" s="294"/>
    </row>
    <row r="227" spans="3:10">
      <c r="C227" s="17" t="s">
        <v>2</v>
      </c>
    </row>
    <row r="228" spans="3:10">
      <c r="C228" s="62" t="s">
        <v>61</v>
      </c>
      <c r="D228" s="17" t="s">
        <v>216</v>
      </c>
    </row>
    <row r="229" spans="3:10">
      <c r="C229" s="62"/>
      <c r="D229" s="17" t="s">
        <v>214</v>
      </c>
    </row>
    <row r="230" spans="3:10">
      <c r="C230" s="62"/>
      <c r="D230" s="17" t="s">
        <v>215</v>
      </c>
    </row>
    <row r="231" spans="3:10">
      <c r="C231" s="62" t="s">
        <v>62</v>
      </c>
      <c r="D231" s="17" t="s">
        <v>217</v>
      </c>
    </row>
    <row r="232" spans="3:10">
      <c r="C232" s="62"/>
      <c r="D232" s="17" t="s">
        <v>219</v>
      </c>
    </row>
    <row r="233" spans="3:10">
      <c r="C233" s="62"/>
      <c r="D233" s="17" t="s">
        <v>218</v>
      </c>
    </row>
    <row r="234" spans="3:10">
      <c r="C234" s="62" t="s">
        <v>63</v>
      </c>
      <c r="D234" s="17" t="s">
        <v>220</v>
      </c>
    </row>
    <row r="235" spans="3:10">
      <c r="C235" s="62" t="s">
        <v>64</v>
      </c>
      <c r="D235" s="17" t="s">
        <v>65</v>
      </c>
    </row>
    <row r="236" spans="3:10" ht="17.25" customHeight="1">
      <c r="C236" s="62"/>
      <c r="D236" s="17" t="s">
        <v>107</v>
      </c>
    </row>
    <row r="237" spans="3:10">
      <c r="C237" s="62" t="s">
        <v>66</v>
      </c>
      <c r="D237" s="17" t="s">
        <v>221</v>
      </c>
    </row>
    <row r="238" spans="3:10">
      <c r="C238" s="62"/>
      <c r="D238" s="56"/>
    </row>
    <row r="239" spans="3:10" ht="13.5">
      <c r="D239" s="48" t="s">
        <v>108</v>
      </c>
      <c r="E239" s="49"/>
      <c r="F239" s="53">
        <f>D171/8</f>
        <v>7.4709711470795206</v>
      </c>
      <c r="G239" s="123" t="str">
        <f>E171</f>
        <v>Para tuberías PVC Novafort</v>
      </c>
      <c r="H239" s="72"/>
      <c r="I239" s="60"/>
      <c r="J239" s="72"/>
    </row>
    <row r="240" spans="3:10" ht="13.5">
      <c r="D240" s="48" t="s">
        <v>108</v>
      </c>
      <c r="E240" s="49"/>
      <c r="F240" s="53">
        <f>D173/8</f>
        <v>3.6699507389162553</v>
      </c>
      <c r="G240" s="123" t="s">
        <v>44</v>
      </c>
      <c r="H240" s="72"/>
      <c r="I240" s="60"/>
      <c r="J240" s="72"/>
    </row>
    <row r="241" spans="2:24">
      <c r="D241" s="48" t="s">
        <v>67</v>
      </c>
      <c r="E241" s="49"/>
      <c r="F241" s="53">
        <v>6.53</v>
      </c>
      <c r="G241" s="72" t="s">
        <v>68</v>
      </c>
      <c r="H241" s="72"/>
      <c r="I241" s="72"/>
      <c r="J241" s="72"/>
    </row>
    <row r="243" spans="2:24" s="31" customFormat="1" ht="13.5">
      <c r="B243" s="274" t="str">
        <f>B$41</f>
        <v>Pozo de</v>
      </c>
      <c r="C243" s="274" t="str">
        <f>C$41</f>
        <v>Pozo a</v>
      </c>
      <c r="D243" s="274" t="s">
        <v>130</v>
      </c>
      <c r="E243" s="274" t="s">
        <v>208</v>
      </c>
      <c r="F243" s="274" t="s">
        <v>207</v>
      </c>
      <c r="G243" s="163" t="s">
        <v>9</v>
      </c>
      <c r="H243" s="163" t="s">
        <v>45</v>
      </c>
      <c r="I243" s="274" t="s">
        <v>69</v>
      </c>
      <c r="J243" s="274" t="s">
        <v>70</v>
      </c>
      <c r="K243" s="274" t="s">
        <v>71</v>
      </c>
      <c r="L243" s="163" t="s">
        <v>229</v>
      </c>
      <c r="W243" s="17"/>
      <c r="X243" s="17"/>
    </row>
    <row r="244" spans="2:24">
      <c r="B244" s="275"/>
      <c r="C244" s="275"/>
      <c r="D244" s="275"/>
      <c r="E244" s="287"/>
      <c r="F244" s="287"/>
      <c r="G244" s="146" t="s">
        <v>16</v>
      </c>
      <c r="H244" s="147" t="s">
        <v>49</v>
      </c>
      <c r="I244" s="275"/>
      <c r="J244" s="275"/>
      <c r="K244" s="275"/>
      <c r="L244" s="164" t="s">
        <v>72</v>
      </c>
    </row>
    <row r="245" spans="2:24" s="74" customFormat="1">
      <c r="B245" s="140">
        <f t="shared" ref="B245:E261" si="97">+B177</f>
        <v>131946</v>
      </c>
      <c r="C245" s="140" t="str">
        <f t="shared" si="97"/>
        <v>131946A</v>
      </c>
      <c r="D245" s="135">
        <f t="shared" si="97"/>
        <v>7.41</v>
      </c>
      <c r="E245" s="135">
        <f t="shared" si="97"/>
        <v>0.2732</v>
      </c>
      <c r="F245" s="135">
        <f t="shared" ref="F245:F261" si="98">+G102</f>
        <v>2.73</v>
      </c>
      <c r="G245" s="135">
        <f t="shared" ref="G245:H261" si="99">+F177</f>
        <v>1</v>
      </c>
      <c r="H245" s="135">
        <f t="shared" si="99"/>
        <v>29.110995271354621</v>
      </c>
      <c r="I245" s="28">
        <f>IF(F245/E245&gt;=2,2.5,3)</f>
        <v>2.5</v>
      </c>
      <c r="J245" s="28">
        <f t="shared" ref="J245:J261" si="100">IF($F$241&lt;=F245,1-0.33*($F$241/F245),1)</f>
        <v>1</v>
      </c>
      <c r="K245" s="135">
        <f>1/(1+4*EXP(-0.2133*F245))</f>
        <v>0.30917365757082155</v>
      </c>
      <c r="L245" s="135">
        <f t="shared" ref="L245:L261" si="101">1/I245*SQRT(32*J245*K245*K177*IF(E245&lt;=0.5,$F$239,$F$240))</f>
        <v>367.82205308598196</v>
      </c>
      <c r="W245" s="76"/>
      <c r="X245" s="76"/>
    </row>
    <row r="246" spans="2:24" s="74" customFormat="1">
      <c r="B246" s="140" t="str">
        <f t="shared" si="97"/>
        <v>131946A</v>
      </c>
      <c r="C246" s="140">
        <f t="shared" si="97"/>
        <v>131916</v>
      </c>
      <c r="D246" s="135">
        <f t="shared" si="97"/>
        <v>51.05</v>
      </c>
      <c r="E246" s="135">
        <f t="shared" si="97"/>
        <v>0.2732</v>
      </c>
      <c r="F246" s="135">
        <f t="shared" si="98"/>
        <v>2.76</v>
      </c>
      <c r="G246" s="135">
        <f t="shared" si="99"/>
        <v>1</v>
      </c>
      <c r="H246" s="135">
        <f t="shared" si="99"/>
        <v>29.143915952237599</v>
      </c>
      <c r="I246" s="28">
        <f t="shared" ref="I246:I261" si="102">IF(F246/E246&gt;=2,2.5,3)</f>
        <v>2.5</v>
      </c>
      <c r="J246" s="28">
        <f t="shared" si="100"/>
        <v>1</v>
      </c>
      <c r="K246" s="135">
        <f t="shared" ref="K246:K261" si="103">1/(1+4*EXP(-0.2133*F246))</f>
        <v>0.3105420562297454</v>
      </c>
      <c r="L246" s="135">
        <f t="shared" si="101"/>
        <v>368.6351422528524</v>
      </c>
      <c r="W246" s="76"/>
      <c r="X246" s="76"/>
    </row>
    <row r="247" spans="2:24" s="74" customFormat="1">
      <c r="B247" s="140">
        <f t="shared" si="97"/>
        <v>80268</v>
      </c>
      <c r="C247" s="140">
        <f t="shared" si="97"/>
        <v>131796</v>
      </c>
      <c r="D247" s="135">
        <f t="shared" si="97"/>
        <v>58.81</v>
      </c>
      <c r="E247" s="135">
        <f t="shared" si="97"/>
        <v>0.2732</v>
      </c>
      <c r="F247" s="135">
        <f t="shared" si="98"/>
        <v>2.98</v>
      </c>
      <c r="G247" s="135">
        <f t="shared" si="99"/>
        <v>1</v>
      </c>
      <c r="H247" s="135">
        <f t="shared" si="99"/>
        <v>29.454533964592514</v>
      </c>
      <c r="I247" s="28">
        <f t="shared" si="102"/>
        <v>2.5</v>
      </c>
      <c r="J247" s="28">
        <f t="shared" si="100"/>
        <v>1</v>
      </c>
      <c r="K247" s="135">
        <f t="shared" si="103"/>
        <v>0.32067742847109376</v>
      </c>
      <c r="L247" s="135">
        <f t="shared" si="101"/>
        <v>374.60254057116163</v>
      </c>
      <c r="W247" s="76"/>
      <c r="X247" s="76"/>
    </row>
    <row r="248" spans="2:24" s="74" customFormat="1">
      <c r="B248" s="140">
        <f t="shared" si="97"/>
        <v>131796</v>
      </c>
      <c r="C248" s="140">
        <f t="shared" si="97"/>
        <v>131732</v>
      </c>
      <c r="D248" s="135">
        <f t="shared" si="97"/>
        <v>62.58</v>
      </c>
      <c r="E248" s="135">
        <f t="shared" si="97"/>
        <v>0.2732</v>
      </c>
      <c r="F248" s="135">
        <f t="shared" si="98"/>
        <v>3.17</v>
      </c>
      <c r="G248" s="135">
        <f t="shared" si="99"/>
        <v>1</v>
      </c>
      <c r="H248" s="135">
        <f t="shared" si="99"/>
        <v>29.809026017647312</v>
      </c>
      <c r="I248" s="28">
        <f t="shared" si="102"/>
        <v>2.5</v>
      </c>
      <c r="J248" s="28">
        <f t="shared" si="100"/>
        <v>1</v>
      </c>
      <c r="K248" s="135">
        <f t="shared" si="103"/>
        <v>0.32956937292837052</v>
      </c>
      <c r="L248" s="135">
        <f t="shared" si="101"/>
        <v>379.76063520443262</v>
      </c>
      <c r="W248" s="76"/>
      <c r="X248" s="76"/>
    </row>
    <row r="249" spans="2:24" s="74" customFormat="1">
      <c r="B249" s="140" t="str">
        <f t="shared" si="97"/>
        <v>78819A</v>
      </c>
      <c r="C249" s="140" t="str">
        <f t="shared" si="97"/>
        <v>131750A</v>
      </c>
      <c r="D249" s="135">
        <f t="shared" si="97"/>
        <v>30.3</v>
      </c>
      <c r="E249" s="135">
        <f t="shared" si="97"/>
        <v>0.32400000000000001</v>
      </c>
      <c r="F249" s="135">
        <f t="shared" si="98"/>
        <v>2.98</v>
      </c>
      <c r="G249" s="135">
        <f t="shared" si="99"/>
        <v>1</v>
      </c>
      <c r="H249" s="135">
        <f t="shared" si="99"/>
        <v>32.339185472904198</v>
      </c>
      <c r="I249" s="28">
        <f t="shared" si="102"/>
        <v>2.5</v>
      </c>
      <c r="J249" s="28">
        <f t="shared" si="100"/>
        <v>1</v>
      </c>
      <c r="K249" s="135">
        <f t="shared" si="103"/>
        <v>0.32067742847109376</v>
      </c>
      <c r="L249" s="135">
        <f t="shared" si="101"/>
        <v>378.72212819091993</v>
      </c>
      <c r="W249" s="76"/>
      <c r="X249" s="76"/>
    </row>
    <row r="250" spans="2:24" s="74" customFormat="1">
      <c r="B250" s="140" t="str">
        <f t="shared" si="97"/>
        <v>131750A</v>
      </c>
      <c r="C250" s="140">
        <f t="shared" si="97"/>
        <v>131732</v>
      </c>
      <c r="D250" s="135">
        <f t="shared" si="97"/>
        <v>30.16</v>
      </c>
      <c r="E250" s="135">
        <f t="shared" si="97"/>
        <v>0.32400000000000001</v>
      </c>
      <c r="F250" s="135">
        <f t="shared" si="98"/>
        <v>2.63</v>
      </c>
      <c r="G250" s="135">
        <f t="shared" si="99"/>
        <v>1</v>
      </c>
      <c r="H250" s="135">
        <f t="shared" si="99"/>
        <v>31.514834534846909</v>
      </c>
      <c r="I250" s="28">
        <f t="shared" si="102"/>
        <v>2.5</v>
      </c>
      <c r="J250" s="28">
        <f t="shared" si="100"/>
        <v>1</v>
      </c>
      <c r="K250" s="135">
        <f t="shared" si="103"/>
        <v>0.3046365226096055</v>
      </c>
      <c r="L250" s="135">
        <f t="shared" si="101"/>
        <v>369.12840793705737</v>
      </c>
      <c r="W250" s="76"/>
      <c r="X250" s="76"/>
    </row>
    <row r="251" spans="2:24" s="74" customFormat="1">
      <c r="B251" s="140" t="str">
        <f t="shared" si="97"/>
        <v>131732A</v>
      </c>
      <c r="C251" s="140">
        <f t="shared" si="97"/>
        <v>131732</v>
      </c>
      <c r="D251" s="135">
        <f t="shared" si="97"/>
        <v>41.14</v>
      </c>
      <c r="E251" s="135">
        <f t="shared" si="97"/>
        <v>0.2732</v>
      </c>
      <c r="F251" s="135">
        <f t="shared" si="98"/>
        <v>2.37</v>
      </c>
      <c r="G251" s="135">
        <f t="shared" si="99"/>
        <v>1</v>
      </c>
      <c r="H251" s="135">
        <f t="shared" si="99"/>
        <v>28.93026359093701</v>
      </c>
      <c r="I251" s="28">
        <f t="shared" si="102"/>
        <v>2.5</v>
      </c>
      <c r="J251" s="28">
        <f t="shared" si="100"/>
        <v>1</v>
      </c>
      <c r="K251" s="135">
        <f t="shared" si="103"/>
        <v>0.29301754511889089</v>
      </c>
      <c r="L251" s="135">
        <f t="shared" si="101"/>
        <v>358.08269633987322</v>
      </c>
      <c r="W251" s="76"/>
      <c r="X251" s="76"/>
    </row>
    <row r="252" spans="2:24" s="74" customFormat="1">
      <c r="B252" s="140">
        <f t="shared" si="97"/>
        <v>80265</v>
      </c>
      <c r="C252" s="140" t="str">
        <f t="shared" si="97"/>
        <v>80265A</v>
      </c>
      <c r="D252" s="135">
        <f t="shared" si="97"/>
        <v>11.92</v>
      </c>
      <c r="E252" s="135">
        <f t="shared" si="97"/>
        <v>0.2732</v>
      </c>
      <c r="F252" s="135">
        <f t="shared" si="98"/>
        <v>2.4500000000000002</v>
      </c>
      <c r="G252" s="135">
        <f t="shared" si="99"/>
        <v>1</v>
      </c>
      <c r="H252" s="135">
        <f t="shared" si="99"/>
        <v>28.93262861695564</v>
      </c>
      <c r="I252" s="28">
        <f t="shared" si="102"/>
        <v>2.5</v>
      </c>
      <c r="J252" s="28">
        <f t="shared" si="100"/>
        <v>1</v>
      </c>
      <c r="K252" s="135">
        <f t="shared" si="103"/>
        <v>0.29656493685329499</v>
      </c>
      <c r="L252" s="135">
        <f t="shared" si="101"/>
        <v>360.24372414100532</v>
      </c>
      <c r="W252" s="76"/>
      <c r="X252" s="76"/>
    </row>
    <row r="253" spans="2:24" s="74" customFormat="1">
      <c r="B253" s="140" t="str">
        <f t="shared" si="97"/>
        <v>80265A</v>
      </c>
      <c r="C253" s="140" t="str">
        <f t="shared" si="97"/>
        <v>131732B</v>
      </c>
      <c r="D253" s="135">
        <f t="shared" si="97"/>
        <v>43.78</v>
      </c>
      <c r="E253" s="135">
        <f t="shared" si="97"/>
        <v>0.2732</v>
      </c>
      <c r="F253" s="135">
        <f t="shared" si="98"/>
        <v>2.2999999999999998</v>
      </c>
      <c r="G253" s="135">
        <f t="shared" si="99"/>
        <v>1</v>
      </c>
      <c r="H253" s="135">
        <f t="shared" si="99"/>
        <v>28.948641874036952</v>
      </c>
      <c r="I253" s="28">
        <f t="shared" si="102"/>
        <v>2.5</v>
      </c>
      <c r="J253" s="28">
        <f t="shared" si="100"/>
        <v>1</v>
      </c>
      <c r="K253" s="135">
        <f t="shared" si="103"/>
        <v>0.28993405177064074</v>
      </c>
      <c r="L253" s="135">
        <f t="shared" si="101"/>
        <v>356.19361868448726</v>
      </c>
      <c r="W253" s="76"/>
      <c r="X253" s="76"/>
    </row>
    <row r="254" spans="2:24" s="74" customFormat="1">
      <c r="B254" s="140" t="str">
        <f t="shared" si="97"/>
        <v>PZ-V1</v>
      </c>
      <c r="C254" s="140" t="str">
        <f t="shared" si="97"/>
        <v>80265A</v>
      </c>
      <c r="D254" s="135">
        <f t="shared" si="97"/>
        <v>6.74</v>
      </c>
      <c r="E254" s="135">
        <f t="shared" si="97"/>
        <v>0.2732</v>
      </c>
      <c r="F254" s="135">
        <f t="shared" si="98"/>
        <v>1.46</v>
      </c>
      <c r="G254" s="135">
        <f t="shared" si="99"/>
        <v>1</v>
      </c>
      <c r="H254" s="135">
        <f t="shared" si="99"/>
        <v>31.413280724167478</v>
      </c>
      <c r="I254" s="28">
        <f t="shared" si="102"/>
        <v>2.5</v>
      </c>
      <c r="J254" s="28">
        <f t="shared" si="100"/>
        <v>1</v>
      </c>
      <c r="K254" s="135">
        <f t="shared" si="103"/>
        <v>0.25447684172942175</v>
      </c>
      <c r="L254" s="135">
        <f t="shared" si="101"/>
        <v>333.70341830124329</v>
      </c>
      <c r="W254" s="76"/>
      <c r="X254" s="76"/>
    </row>
    <row r="255" spans="2:24" s="74" customFormat="1">
      <c r="B255" s="140" t="str">
        <f t="shared" si="97"/>
        <v>PZ-V2</v>
      </c>
      <c r="C255" s="140" t="str">
        <f t="shared" si="97"/>
        <v>131732B</v>
      </c>
      <c r="D255" s="135">
        <f t="shared" si="97"/>
        <v>6.78</v>
      </c>
      <c r="E255" s="135">
        <f t="shared" si="97"/>
        <v>0.2732</v>
      </c>
      <c r="F255" s="135">
        <f t="shared" si="98"/>
        <v>1.75</v>
      </c>
      <c r="G255" s="135">
        <f t="shared" si="99"/>
        <v>1</v>
      </c>
      <c r="H255" s="135">
        <f t="shared" si="99"/>
        <v>29.964568173268809</v>
      </c>
      <c r="I255" s="28">
        <f t="shared" si="102"/>
        <v>2.5</v>
      </c>
      <c r="J255" s="28">
        <f t="shared" si="100"/>
        <v>1</v>
      </c>
      <c r="K255" s="135">
        <f t="shared" si="103"/>
        <v>0.26638937282098718</v>
      </c>
      <c r="L255" s="135">
        <f t="shared" si="101"/>
        <v>341.42472633578905</v>
      </c>
      <c r="W255" s="76"/>
      <c r="X255" s="76"/>
    </row>
    <row r="256" spans="2:24" s="354" customFormat="1">
      <c r="B256" s="344" t="str">
        <f t="shared" si="97"/>
        <v>PA-01</v>
      </c>
      <c r="C256" s="344" t="str">
        <f t="shared" si="97"/>
        <v>PA-02</v>
      </c>
      <c r="D256" s="345">
        <f t="shared" si="97"/>
        <v>33.71</v>
      </c>
      <c r="E256" s="345">
        <f t="shared" si="97"/>
        <v>0.32400000000000001</v>
      </c>
      <c r="F256" s="345">
        <f t="shared" si="98"/>
        <v>1.2</v>
      </c>
      <c r="G256" s="345">
        <f t="shared" si="99"/>
        <v>1</v>
      </c>
      <c r="H256" s="345">
        <f t="shared" si="99"/>
        <v>34.220095529295094</v>
      </c>
      <c r="I256" s="356">
        <f t="shared" si="102"/>
        <v>2.5</v>
      </c>
      <c r="J256" s="356">
        <f t="shared" si="100"/>
        <v>1</v>
      </c>
      <c r="K256" s="345">
        <f t="shared" si="103"/>
        <v>0.24409940102347313</v>
      </c>
      <c r="L256" s="345">
        <f t="shared" si="101"/>
        <v>330.42267422900341</v>
      </c>
      <c r="W256" s="357"/>
      <c r="X256" s="357"/>
    </row>
    <row r="257" spans="2:24" s="74" customFormat="1">
      <c r="B257" s="140" t="str">
        <f t="shared" si="97"/>
        <v>PA-02</v>
      </c>
      <c r="C257" s="140">
        <f t="shared" si="97"/>
        <v>78059</v>
      </c>
      <c r="D257" s="135">
        <f t="shared" si="97"/>
        <v>20.75</v>
      </c>
      <c r="E257" s="135">
        <f t="shared" si="97"/>
        <v>0.32400000000000001</v>
      </c>
      <c r="F257" s="135">
        <f t="shared" si="98"/>
        <v>1.25</v>
      </c>
      <c r="G257" s="135">
        <f t="shared" si="99"/>
        <v>1</v>
      </c>
      <c r="H257" s="135">
        <f t="shared" si="99"/>
        <v>33.80074692795759</v>
      </c>
      <c r="I257" s="28">
        <f t="shared" si="102"/>
        <v>2.5</v>
      </c>
      <c r="J257" s="28">
        <f t="shared" si="100"/>
        <v>1</v>
      </c>
      <c r="K257" s="135">
        <f t="shared" si="103"/>
        <v>0.24607261881857234</v>
      </c>
      <c r="L257" s="135">
        <f t="shared" si="101"/>
        <v>331.75549923334165</v>
      </c>
      <c r="W257" s="76"/>
      <c r="X257" s="76"/>
    </row>
    <row r="258" spans="2:24" s="74" customFormat="1">
      <c r="B258" s="140" t="str">
        <f t="shared" si="97"/>
        <v>PA-03</v>
      </c>
      <c r="C258" s="140">
        <f t="shared" si="97"/>
        <v>78315</v>
      </c>
      <c r="D258" s="135">
        <f t="shared" si="97"/>
        <v>24.96</v>
      </c>
      <c r="E258" s="135">
        <f t="shared" si="97"/>
        <v>0.32400000000000001</v>
      </c>
      <c r="F258" s="135">
        <f t="shared" si="98"/>
        <v>1.2</v>
      </c>
      <c r="G258" s="135">
        <f t="shared" si="99"/>
        <v>1</v>
      </c>
      <c r="H258" s="135">
        <f t="shared" si="99"/>
        <v>34.220095529295094</v>
      </c>
      <c r="I258" s="28">
        <f t="shared" si="102"/>
        <v>2.5</v>
      </c>
      <c r="J258" s="28">
        <f t="shared" si="100"/>
        <v>1</v>
      </c>
      <c r="K258" s="135">
        <f t="shared" si="103"/>
        <v>0.24409940102347313</v>
      </c>
      <c r="L258" s="135">
        <f t="shared" si="101"/>
        <v>330.42267422900341</v>
      </c>
      <c r="W258" s="76"/>
      <c r="X258" s="76"/>
    </row>
    <row r="259" spans="2:24" s="74" customFormat="1">
      <c r="B259" s="140" t="str">
        <f t="shared" si="97"/>
        <v>PA-04</v>
      </c>
      <c r="C259" s="140">
        <f t="shared" si="97"/>
        <v>78059</v>
      </c>
      <c r="D259" s="135">
        <f t="shared" si="97"/>
        <v>8.75</v>
      </c>
      <c r="E259" s="135">
        <f t="shared" si="97"/>
        <v>0.32400000000000001</v>
      </c>
      <c r="F259" s="135">
        <f t="shared" si="98"/>
        <v>1.75</v>
      </c>
      <c r="G259" s="135">
        <f t="shared" si="99"/>
        <v>1</v>
      </c>
      <c r="H259" s="135">
        <f t="shared" si="99"/>
        <v>31.401438154347687</v>
      </c>
      <c r="I259" s="28">
        <f t="shared" si="102"/>
        <v>2.5</v>
      </c>
      <c r="J259" s="28">
        <f t="shared" si="100"/>
        <v>1</v>
      </c>
      <c r="K259" s="135">
        <f t="shared" si="103"/>
        <v>0.26638937282098718</v>
      </c>
      <c r="L259" s="135">
        <f t="shared" si="101"/>
        <v>345.17945013864357</v>
      </c>
      <c r="W259" s="76"/>
      <c r="X259" s="76"/>
    </row>
    <row r="260" spans="2:24" s="74" customFormat="1">
      <c r="B260" s="140" t="str">
        <f t="shared" si="97"/>
        <v>PA-05</v>
      </c>
      <c r="C260" s="140">
        <f t="shared" si="97"/>
        <v>78819</v>
      </c>
      <c r="D260" s="135">
        <f t="shared" si="97"/>
        <v>11.14</v>
      </c>
      <c r="E260" s="135">
        <f t="shared" si="97"/>
        <v>0.32400000000000001</v>
      </c>
      <c r="F260" s="135">
        <f t="shared" si="98"/>
        <v>1.24</v>
      </c>
      <c r="G260" s="135">
        <f t="shared" si="99"/>
        <v>1</v>
      </c>
      <c r="H260" s="135">
        <f t="shared" si="99"/>
        <v>33.881254438252157</v>
      </c>
      <c r="I260" s="28">
        <f t="shared" si="102"/>
        <v>2.5</v>
      </c>
      <c r="J260" s="28">
        <f t="shared" si="100"/>
        <v>1</v>
      </c>
      <c r="K260" s="135">
        <f t="shared" si="103"/>
        <v>0.24567711713506543</v>
      </c>
      <c r="L260" s="135">
        <f t="shared" si="101"/>
        <v>331.48878401842279</v>
      </c>
      <c r="W260" s="76"/>
      <c r="X260" s="76"/>
    </row>
    <row r="261" spans="2:24" s="74" customFormat="1">
      <c r="B261" s="140" t="str">
        <f t="shared" si="97"/>
        <v>PA-06</v>
      </c>
      <c r="C261" s="140">
        <f t="shared" si="97"/>
        <v>78812</v>
      </c>
      <c r="D261" s="135">
        <f t="shared" si="97"/>
        <v>8.59</v>
      </c>
      <c r="E261" s="135">
        <f t="shared" si="97"/>
        <v>0.32400000000000001</v>
      </c>
      <c r="F261" s="135">
        <f t="shared" si="98"/>
        <v>1.3</v>
      </c>
      <c r="G261" s="135">
        <f t="shared" si="99"/>
        <v>1</v>
      </c>
      <c r="H261" s="135">
        <f t="shared" si="99"/>
        <v>33.422047027575971</v>
      </c>
      <c r="I261" s="28">
        <f t="shared" si="102"/>
        <v>2.5</v>
      </c>
      <c r="J261" s="28">
        <f t="shared" si="100"/>
        <v>1</v>
      </c>
      <c r="K261" s="135">
        <f t="shared" si="103"/>
        <v>0.24805655301596624</v>
      </c>
      <c r="L261" s="135">
        <f t="shared" si="101"/>
        <v>333.09018607436769</v>
      </c>
      <c r="W261" s="76"/>
      <c r="X261" s="76"/>
    </row>
    <row r="262" spans="2:24" s="74" customFormat="1">
      <c r="B262" s="314" t="str">
        <f t="shared" ref="B262" si="104">+B194</f>
        <v>SUMIDEROS</v>
      </c>
      <c r="C262" s="314"/>
      <c r="D262" s="314"/>
      <c r="E262" s="314"/>
      <c r="F262" s="314"/>
      <c r="G262" s="314"/>
      <c r="H262" s="314"/>
      <c r="I262" s="314"/>
      <c r="J262" s="314"/>
      <c r="K262" s="314"/>
      <c r="L262" s="314"/>
      <c r="W262" s="76"/>
      <c r="X262" s="76"/>
    </row>
    <row r="263" spans="2:24" s="74" customFormat="1">
      <c r="B263" s="140" t="str">
        <f t="shared" ref="B263:E263" si="105">+B195</f>
        <v>S1</v>
      </c>
      <c r="C263" s="140">
        <f t="shared" si="105"/>
        <v>79804</v>
      </c>
      <c r="D263" s="135">
        <f t="shared" si="105"/>
        <v>8.5</v>
      </c>
      <c r="E263" s="135">
        <f t="shared" si="105"/>
        <v>0.2732</v>
      </c>
      <c r="F263" s="135">
        <f t="shared" ref="F263:F282" si="106">+G120</f>
        <v>1.1000000000000001</v>
      </c>
      <c r="G263" s="135">
        <f t="shared" ref="G263:H263" si="107">+F195</f>
        <v>1</v>
      </c>
      <c r="H263" s="135">
        <f t="shared" si="107"/>
        <v>34.750419579138331</v>
      </c>
      <c r="I263" s="28">
        <f t="shared" ref="I263:I280" si="108">IF(F263/E263&gt;=2,2.5,3)</f>
        <v>2.5</v>
      </c>
      <c r="J263" s="28">
        <f t="shared" ref="J263:J280" si="109">IF($F$241&lt;=F263,1-0.33*($F$241/F263),1)</f>
        <v>1</v>
      </c>
      <c r="K263" s="135">
        <f t="shared" ref="K263:K280" si="110">1/(1+4*EXP(-0.2133*F263))</f>
        <v>0.24018521201320461</v>
      </c>
      <c r="L263" s="135">
        <f t="shared" ref="L263:L280" si="111">1/I263*SQRT(32*J263*K263*K195*IF(E263&lt;=0.5,$F$239,$F$240))</f>
        <v>324.19749489041919</v>
      </c>
      <c r="W263" s="76"/>
      <c r="X263" s="76"/>
    </row>
    <row r="264" spans="2:24" s="74" customFormat="1">
      <c r="B264" s="140" t="str">
        <f t="shared" ref="B264:E264" si="112">+B196</f>
        <v>S2</v>
      </c>
      <c r="C264" s="140">
        <f t="shared" si="112"/>
        <v>79804</v>
      </c>
      <c r="D264" s="135">
        <f t="shared" si="112"/>
        <v>7.2</v>
      </c>
      <c r="E264" s="135">
        <f t="shared" si="112"/>
        <v>0.2732</v>
      </c>
      <c r="F264" s="135">
        <f t="shared" si="106"/>
        <v>1.1000000000000001</v>
      </c>
      <c r="G264" s="135">
        <f t="shared" ref="G264:H264" si="113">+F196</f>
        <v>1</v>
      </c>
      <c r="H264" s="135">
        <f t="shared" si="113"/>
        <v>34.750419579138331</v>
      </c>
      <c r="I264" s="28">
        <f t="shared" si="108"/>
        <v>2.5</v>
      </c>
      <c r="J264" s="28">
        <f t="shared" si="109"/>
        <v>1</v>
      </c>
      <c r="K264" s="135">
        <f t="shared" si="110"/>
        <v>0.24018521201320461</v>
      </c>
      <c r="L264" s="135">
        <f t="shared" si="111"/>
        <v>324.19749489041919</v>
      </c>
      <c r="W264" s="76"/>
      <c r="X264" s="76"/>
    </row>
    <row r="265" spans="2:24" s="74" customFormat="1">
      <c r="B265" s="140" t="str">
        <f t="shared" ref="B265:E265" si="114">+B197</f>
        <v>S3</v>
      </c>
      <c r="C265" s="140" t="str">
        <f t="shared" si="114"/>
        <v>PA-03</v>
      </c>
      <c r="D265" s="135">
        <f t="shared" si="114"/>
        <v>3.2</v>
      </c>
      <c r="E265" s="135">
        <f t="shared" si="114"/>
        <v>0.2732</v>
      </c>
      <c r="F265" s="135">
        <f t="shared" si="106"/>
        <v>1.22</v>
      </c>
      <c r="G265" s="135">
        <f t="shared" ref="G265:H265" si="115">+F197</f>
        <v>1</v>
      </c>
      <c r="H265" s="135">
        <f t="shared" si="115"/>
        <v>33.389980353256561</v>
      </c>
      <c r="I265" s="28">
        <f t="shared" si="108"/>
        <v>2.5</v>
      </c>
      <c r="J265" s="28">
        <f t="shared" si="109"/>
        <v>1</v>
      </c>
      <c r="K265" s="135">
        <f t="shared" si="110"/>
        <v>0.24488740055818511</v>
      </c>
      <c r="L265" s="135">
        <f t="shared" si="111"/>
        <v>327.35557605678673</v>
      </c>
      <c r="W265" s="76"/>
      <c r="X265" s="76"/>
    </row>
    <row r="266" spans="2:24" s="74" customFormat="1">
      <c r="B266" s="140" t="str">
        <f t="shared" ref="B266:E266" si="116">+B198</f>
        <v>S4</v>
      </c>
      <c r="C266" s="140" t="str">
        <f t="shared" si="116"/>
        <v>PA-03</v>
      </c>
      <c r="D266" s="135">
        <f t="shared" si="116"/>
        <v>1.6</v>
      </c>
      <c r="E266" s="135">
        <f t="shared" si="116"/>
        <v>0.2732</v>
      </c>
      <c r="F266" s="135">
        <f t="shared" si="106"/>
        <v>1.19</v>
      </c>
      <c r="G266" s="135">
        <f t="shared" ref="G266:H266" si="117">+F198</f>
        <v>1</v>
      </c>
      <c r="H266" s="135">
        <f t="shared" si="117"/>
        <v>33.703098432375917</v>
      </c>
      <c r="I266" s="28">
        <f t="shared" si="108"/>
        <v>2.5</v>
      </c>
      <c r="J266" s="28">
        <f t="shared" si="109"/>
        <v>1</v>
      </c>
      <c r="K266" s="135">
        <f t="shared" si="110"/>
        <v>0.24370604563374895</v>
      </c>
      <c r="L266" s="135">
        <f t="shared" si="111"/>
        <v>326.56502773839225</v>
      </c>
      <c r="W266" s="76"/>
      <c r="X266" s="76"/>
    </row>
    <row r="267" spans="2:24" s="74" customFormat="1">
      <c r="B267" s="140" t="str">
        <f t="shared" ref="B267:E267" si="118">+B199</f>
        <v>S5</v>
      </c>
      <c r="C267" s="140">
        <f t="shared" si="118"/>
        <v>78315</v>
      </c>
      <c r="D267" s="135">
        <f t="shared" si="118"/>
        <v>12</v>
      </c>
      <c r="E267" s="135">
        <f t="shared" si="118"/>
        <v>0.2732</v>
      </c>
      <c r="F267" s="135">
        <f t="shared" si="106"/>
        <v>1.4</v>
      </c>
      <c r="G267" s="135">
        <f t="shared" ref="G267:H267" si="119">+F199</f>
        <v>1</v>
      </c>
      <c r="H267" s="135">
        <f t="shared" si="119"/>
        <v>31.829193933944374</v>
      </c>
      <c r="I267" s="28">
        <f t="shared" si="108"/>
        <v>2.5</v>
      </c>
      <c r="J267" s="28">
        <f t="shared" si="109"/>
        <v>1</v>
      </c>
      <c r="K267" s="135">
        <f t="shared" si="110"/>
        <v>0.25205646427699829</v>
      </c>
      <c r="L267" s="135">
        <f t="shared" si="111"/>
        <v>332.11266856787125</v>
      </c>
      <c r="W267" s="76"/>
      <c r="X267" s="76"/>
    </row>
    <row r="268" spans="2:24" s="74" customFormat="1">
      <c r="B268" s="140" t="str">
        <f t="shared" ref="B268:E268" si="120">+B200</f>
        <v>S6</v>
      </c>
      <c r="C268" s="140">
        <f t="shared" si="120"/>
        <v>78315</v>
      </c>
      <c r="D268" s="135">
        <f t="shared" si="120"/>
        <v>7.1</v>
      </c>
      <c r="E268" s="135">
        <f t="shared" si="120"/>
        <v>0.2732</v>
      </c>
      <c r="F268" s="135">
        <f t="shared" si="106"/>
        <v>1.4</v>
      </c>
      <c r="G268" s="135">
        <f t="shared" ref="G268:H268" si="121">+F200</f>
        <v>1</v>
      </c>
      <c r="H268" s="135">
        <f t="shared" si="121"/>
        <v>31.829193933944374</v>
      </c>
      <c r="I268" s="28">
        <f t="shared" si="108"/>
        <v>2.5</v>
      </c>
      <c r="J268" s="28">
        <f t="shared" si="109"/>
        <v>1</v>
      </c>
      <c r="K268" s="135">
        <f t="shared" si="110"/>
        <v>0.25205646427699829</v>
      </c>
      <c r="L268" s="135">
        <f t="shared" si="111"/>
        <v>332.11266856787125</v>
      </c>
      <c r="W268" s="76"/>
      <c r="X268" s="76"/>
    </row>
    <row r="269" spans="2:24" s="74" customFormat="1">
      <c r="B269" s="140" t="str">
        <f t="shared" ref="B269:E269" si="122">+B201</f>
        <v>S7</v>
      </c>
      <c r="C269" s="140" t="str">
        <f t="shared" si="122"/>
        <v>PA-01</v>
      </c>
      <c r="D269" s="135">
        <f t="shared" si="122"/>
        <v>2</v>
      </c>
      <c r="E269" s="135">
        <f t="shared" si="122"/>
        <v>0.2732</v>
      </c>
      <c r="F269" s="135">
        <f t="shared" si="106"/>
        <v>1.1000000000000001</v>
      </c>
      <c r="G269" s="135">
        <f t="shared" ref="G269:H269" si="123">+F201</f>
        <v>1</v>
      </c>
      <c r="H269" s="135">
        <f t="shared" si="123"/>
        <v>34.750419579138331</v>
      </c>
      <c r="I269" s="28">
        <f t="shared" si="108"/>
        <v>2.5</v>
      </c>
      <c r="J269" s="28">
        <f t="shared" si="109"/>
        <v>1</v>
      </c>
      <c r="K269" s="135">
        <f t="shared" si="110"/>
        <v>0.24018521201320461</v>
      </c>
      <c r="L269" s="135">
        <f t="shared" si="111"/>
        <v>324.19749489041919</v>
      </c>
      <c r="W269" s="76"/>
      <c r="X269" s="76"/>
    </row>
    <row r="270" spans="2:24" s="74" customFormat="1">
      <c r="B270" s="140" t="str">
        <f t="shared" ref="B270:E270" si="124">+B202</f>
        <v>S8</v>
      </c>
      <c r="C270" s="140" t="str">
        <f t="shared" si="124"/>
        <v>PA-01</v>
      </c>
      <c r="D270" s="135">
        <f t="shared" si="124"/>
        <v>3.1</v>
      </c>
      <c r="E270" s="135">
        <f t="shared" si="124"/>
        <v>0.2732</v>
      </c>
      <c r="F270" s="135">
        <f t="shared" si="106"/>
        <v>1.1000000000000001</v>
      </c>
      <c r="G270" s="135">
        <f t="shared" ref="G270:H270" si="125">+F202</f>
        <v>1</v>
      </c>
      <c r="H270" s="135">
        <f t="shared" si="125"/>
        <v>34.750419579138331</v>
      </c>
      <c r="I270" s="28">
        <f t="shared" si="108"/>
        <v>2.5</v>
      </c>
      <c r="J270" s="28">
        <f t="shared" si="109"/>
        <v>1</v>
      </c>
      <c r="K270" s="135">
        <f t="shared" si="110"/>
        <v>0.24018521201320461</v>
      </c>
      <c r="L270" s="135">
        <f t="shared" si="111"/>
        <v>324.19749489041919</v>
      </c>
      <c r="W270" s="76"/>
      <c r="X270" s="76"/>
    </row>
    <row r="271" spans="2:24" s="74" customFormat="1">
      <c r="B271" s="140" t="str">
        <f t="shared" ref="B271:E271" si="126">+B203</f>
        <v>S9</v>
      </c>
      <c r="C271" s="140" t="str">
        <f t="shared" si="126"/>
        <v>PA-02</v>
      </c>
      <c r="D271" s="135">
        <f t="shared" si="126"/>
        <v>2.1</v>
      </c>
      <c r="E271" s="135">
        <f t="shared" si="126"/>
        <v>0.2732</v>
      </c>
      <c r="F271" s="135">
        <f t="shared" si="106"/>
        <v>1.2</v>
      </c>
      <c r="G271" s="135">
        <f t="shared" ref="G271:H271" si="127">+F203</f>
        <v>1</v>
      </c>
      <c r="H271" s="135">
        <f t="shared" si="127"/>
        <v>33.596844616073611</v>
      </c>
      <c r="I271" s="28">
        <f t="shared" si="108"/>
        <v>2.5</v>
      </c>
      <c r="J271" s="28">
        <f t="shared" si="109"/>
        <v>1</v>
      </c>
      <c r="K271" s="135">
        <f t="shared" si="110"/>
        <v>0.24409940102347313</v>
      </c>
      <c r="L271" s="135">
        <f t="shared" si="111"/>
        <v>326.8284687239186</v>
      </c>
      <c r="W271" s="76"/>
      <c r="X271" s="76"/>
    </row>
    <row r="272" spans="2:24" s="74" customFormat="1">
      <c r="B272" s="140" t="str">
        <f t="shared" ref="B272:E272" si="128">+B204</f>
        <v>S10</v>
      </c>
      <c r="C272" s="140" t="str">
        <f t="shared" si="128"/>
        <v>PA-02</v>
      </c>
      <c r="D272" s="135">
        <f t="shared" si="128"/>
        <v>3.1</v>
      </c>
      <c r="E272" s="135">
        <f t="shared" si="128"/>
        <v>0.2732</v>
      </c>
      <c r="F272" s="135">
        <f t="shared" si="106"/>
        <v>1.1000000000000001</v>
      </c>
      <c r="G272" s="135">
        <f t="shared" ref="G272:H272" si="129">+F204</f>
        <v>1</v>
      </c>
      <c r="H272" s="135">
        <f t="shared" si="129"/>
        <v>34.750419579138331</v>
      </c>
      <c r="I272" s="28">
        <f t="shared" si="108"/>
        <v>2.5</v>
      </c>
      <c r="J272" s="28">
        <f t="shared" si="109"/>
        <v>1</v>
      </c>
      <c r="K272" s="135">
        <f t="shared" si="110"/>
        <v>0.24018521201320461</v>
      </c>
      <c r="L272" s="135">
        <f t="shared" si="111"/>
        <v>324.19749489041919</v>
      </c>
      <c r="W272" s="76"/>
      <c r="X272" s="76"/>
    </row>
    <row r="273" spans="1:24" s="74" customFormat="1">
      <c r="B273" s="140" t="str">
        <f t="shared" ref="B273:E273" si="130">+B205</f>
        <v>S11</v>
      </c>
      <c r="C273" s="140">
        <f t="shared" si="130"/>
        <v>78059</v>
      </c>
      <c r="D273" s="135">
        <f t="shared" si="130"/>
        <v>8.1</v>
      </c>
      <c r="E273" s="135">
        <f t="shared" si="130"/>
        <v>0.2732</v>
      </c>
      <c r="F273" s="135">
        <f t="shared" si="106"/>
        <v>1.03</v>
      </c>
      <c r="G273" s="135">
        <f t="shared" ref="G273:H273" si="131">+F205</f>
        <v>1</v>
      </c>
      <c r="H273" s="135">
        <f t="shared" si="131"/>
        <v>35.690958433715693</v>
      </c>
      <c r="I273" s="28">
        <f t="shared" si="108"/>
        <v>2.5</v>
      </c>
      <c r="J273" s="28">
        <f t="shared" si="109"/>
        <v>1</v>
      </c>
      <c r="K273" s="135">
        <f t="shared" si="110"/>
        <v>0.23747094000312197</v>
      </c>
      <c r="L273" s="135">
        <f t="shared" si="111"/>
        <v>322.36045343098158</v>
      </c>
      <c r="W273" s="76"/>
      <c r="X273" s="76"/>
    </row>
    <row r="274" spans="1:24" s="74" customFormat="1">
      <c r="B274" s="140" t="str">
        <f t="shared" ref="B274:E274" si="132">+B206</f>
        <v>S12</v>
      </c>
      <c r="C274" s="140">
        <f t="shared" si="132"/>
        <v>78059</v>
      </c>
      <c r="D274" s="135">
        <f t="shared" si="132"/>
        <v>6.2</v>
      </c>
      <c r="E274" s="135">
        <f t="shared" si="132"/>
        <v>0.2732</v>
      </c>
      <c r="F274" s="135">
        <f t="shared" si="106"/>
        <v>1.05</v>
      </c>
      <c r="G274" s="135">
        <f t="shared" ref="G274:H274" si="133">+F206</f>
        <v>1</v>
      </c>
      <c r="H274" s="135">
        <f t="shared" si="133"/>
        <v>35.409965038064591</v>
      </c>
      <c r="I274" s="28">
        <f t="shared" si="108"/>
        <v>2.5</v>
      </c>
      <c r="J274" s="28">
        <f t="shared" si="109"/>
        <v>1</v>
      </c>
      <c r="K274" s="135">
        <f t="shared" si="110"/>
        <v>0.23824428578778512</v>
      </c>
      <c r="L274" s="135">
        <f t="shared" si="111"/>
        <v>322.88492489629266</v>
      </c>
      <c r="W274" s="76"/>
      <c r="X274" s="76"/>
    </row>
    <row r="275" spans="1:24" s="74" customFormat="1">
      <c r="B275" s="140" t="str">
        <f t="shared" ref="B275:E275" si="134">+B207</f>
        <v>S13</v>
      </c>
      <c r="C275" s="140">
        <f t="shared" si="134"/>
        <v>79319</v>
      </c>
      <c r="D275" s="135">
        <f t="shared" si="134"/>
        <v>3.3</v>
      </c>
      <c r="E275" s="135">
        <f t="shared" si="134"/>
        <v>0.2732</v>
      </c>
      <c r="F275" s="135">
        <f t="shared" si="106"/>
        <v>1.2</v>
      </c>
      <c r="G275" s="135">
        <f t="shared" ref="G275:H275" si="135">+F207</f>
        <v>1</v>
      </c>
      <c r="H275" s="135">
        <f t="shared" si="135"/>
        <v>33.596844616073611</v>
      </c>
      <c r="I275" s="28">
        <f t="shared" si="108"/>
        <v>2.5</v>
      </c>
      <c r="J275" s="28">
        <f t="shared" si="109"/>
        <v>1</v>
      </c>
      <c r="K275" s="135">
        <f t="shared" si="110"/>
        <v>0.24409940102347313</v>
      </c>
      <c r="L275" s="135">
        <f t="shared" si="111"/>
        <v>326.8284687239186</v>
      </c>
      <c r="W275" s="76"/>
      <c r="X275" s="76"/>
    </row>
    <row r="276" spans="1:24" s="74" customFormat="1">
      <c r="B276" s="140" t="str">
        <f t="shared" ref="B276:E276" si="136">+B208</f>
        <v>S14</v>
      </c>
      <c r="C276" s="140">
        <f t="shared" si="136"/>
        <v>79319</v>
      </c>
      <c r="D276" s="135">
        <f t="shared" si="136"/>
        <v>4</v>
      </c>
      <c r="E276" s="135">
        <f t="shared" si="136"/>
        <v>0.2732</v>
      </c>
      <c r="F276" s="135">
        <f t="shared" si="106"/>
        <v>1.2</v>
      </c>
      <c r="G276" s="135">
        <f t="shared" ref="G276:H276" si="137">+F208</f>
        <v>1</v>
      </c>
      <c r="H276" s="135">
        <f t="shared" si="137"/>
        <v>33.596844616073611</v>
      </c>
      <c r="I276" s="28">
        <f t="shared" si="108"/>
        <v>2.5</v>
      </c>
      <c r="J276" s="28">
        <f t="shared" si="109"/>
        <v>1</v>
      </c>
      <c r="K276" s="135">
        <f t="shared" si="110"/>
        <v>0.24409940102347313</v>
      </c>
      <c r="L276" s="135">
        <f t="shared" si="111"/>
        <v>326.8284687239186</v>
      </c>
      <c r="W276" s="76"/>
      <c r="X276" s="76"/>
    </row>
    <row r="277" spans="1:24" s="74" customFormat="1">
      <c r="B277" s="140" t="str">
        <f t="shared" ref="B277:E277" si="138">+B209</f>
        <v>S15</v>
      </c>
      <c r="C277" s="140">
        <f t="shared" si="138"/>
        <v>78819</v>
      </c>
      <c r="D277" s="135">
        <f t="shared" si="138"/>
        <v>1.9</v>
      </c>
      <c r="E277" s="135">
        <f t="shared" si="138"/>
        <v>0.2732</v>
      </c>
      <c r="F277" s="135">
        <f t="shared" si="106"/>
        <v>1.0900000000000001</v>
      </c>
      <c r="G277" s="135">
        <f t="shared" ref="G277:H277" si="139">+F209</f>
        <v>1</v>
      </c>
      <c r="H277" s="135">
        <f t="shared" si="139"/>
        <v>34.877607744547774</v>
      </c>
      <c r="I277" s="28">
        <f t="shared" si="108"/>
        <v>2.5</v>
      </c>
      <c r="J277" s="28">
        <f t="shared" si="109"/>
        <v>1</v>
      </c>
      <c r="K277" s="135">
        <f t="shared" si="110"/>
        <v>0.23979616320911085</v>
      </c>
      <c r="L277" s="135">
        <f t="shared" si="111"/>
        <v>323.93482308934807</v>
      </c>
      <c r="W277" s="76"/>
      <c r="X277" s="76"/>
    </row>
    <row r="278" spans="1:24" s="74" customFormat="1">
      <c r="B278" s="140" t="str">
        <f t="shared" ref="B278:E278" si="140">+B210</f>
        <v>S16</v>
      </c>
      <c r="C278" s="140">
        <f t="shared" si="140"/>
        <v>78819</v>
      </c>
      <c r="D278" s="135">
        <f t="shared" si="140"/>
        <v>5.3</v>
      </c>
      <c r="E278" s="135">
        <f t="shared" si="140"/>
        <v>0.2732</v>
      </c>
      <c r="F278" s="135">
        <f t="shared" si="106"/>
        <v>1.24</v>
      </c>
      <c r="G278" s="135">
        <f t="shared" ref="G278:H278" si="141">+F210</f>
        <v>1</v>
      </c>
      <c r="H278" s="135">
        <f t="shared" si="141"/>
        <v>33.190423189783971</v>
      </c>
      <c r="I278" s="28">
        <f t="shared" si="108"/>
        <v>2.5</v>
      </c>
      <c r="J278" s="28">
        <f t="shared" si="109"/>
        <v>1</v>
      </c>
      <c r="K278" s="135">
        <f t="shared" si="110"/>
        <v>0.24567711713506543</v>
      </c>
      <c r="L278" s="135">
        <f t="shared" si="111"/>
        <v>327.88298179806077</v>
      </c>
      <c r="W278" s="76"/>
      <c r="X278" s="76"/>
    </row>
    <row r="279" spans="1:24" s="74" customFormat="1">
      <c r="B279" s="140" t="str">
        <f t="shared" ref="B279:E279" si="142">+B211</f>
        <v>S17</v>
      </c>
      <c r="C279" s="140">
        <f t="shared" si="142"/>
        <v>78819</v>
      </c>
      <c r="D279" s="135">
        <f t="shared" si="142"/>
        <v>2.6</v>
      </c>
      <c r="E279" s="135">
        <f t="shared" si="142"/>
        <v>0.2732</v>
      </c>
      <c r="F279" s="135">
        <f t="shared" si="106"/>
        <v>1.1100000000000001</v>
      </c>
      <c r="G279" s="135">
        <f t="shared" ref="G279:H279" si="143">+F211</f>
        <v>1</v>
      </c>
      <c r="H279" s="135">
        <f t="shared" si="143"/>
        <v>34.625503393518557</v>
      </c>
      <c r="I279" s="28">
        <f t="shared" si="108"/>
        <v>2.5</v>
      </c>
      <c r="J279" s="28">
        <f t="shared" si="109"/>
        <v>1</v>
      </c>
      <c r="K279" s="135">
        <f t="shared" si="110"/>
        <v>0.24057469226621578</v>
      </c>
      <c r="L279" s="135">
        <f t="shared" si="111"/>
        <v>324.46024498651605</v>
      </c>
      <c r="W279" s="76"/>
      <c r="X279" s="76"/>
    </row>
    <row r="280" spans="1:24" s="74" customFormat="1">
      <c r="B280" s="140" t="str">
        <f t="shared" ref="B280:E280" si="144">+B212</f>
        <v>S18</v>
      </c>
      <c r="C280" s="140">
        <f t="shared" si="144"/>
        <v>78819</v>
      </c>
      <c r="D280" s="135">
        <f t="shared" si="144"/>
        <v>3</v>
      </c>
      <c r="E280" s="135">
        <f t="shared" si="144"/>
        <v>0.2732</v>
      </c>
      <c r="F280" s="135">
        <f t="shared" si="106"/>
        <v>1.1100000000000001</v>
      </c>
      <c r="G280" s="135">
        <f t="shared" ref="G280:H280" si="145">+F212</f>
        <v>1</v>
      </c>
      <c r="H280" s="135">
        <f t="shared" si="145"/>
        <v>34.625503393518557</v>
      </c>
      <c r="I280" s="28">
        <f t="shared" si="108"/>
        <v>2.5</v>
      </c>
      <c r="J280" s="28">
        <f t="shared" si="109"/>
        <v>1</v>
      </c>
      <c r="K280" s="135">
        <f t="shared" si="110"/>
        <v>0.24057469226621578</v>
      </c>
      <c r="L280" s="135">
        <f t="shared" si="111"/>
        <v>324.46024498651605</v>
      </c>
      <c r="W280" s="76"/>
      <c r="X280" s="76"/>
    </row>
    <row r="281" spans="1:24" s="74" customFormat="1">
      <c r="B281" s="140" t="str">
        <f t="shared" ref="B281:E281" si="146">+B213</f>
        <v>S19</v>
      </c>
      <c r="C281" s="140">
        <f t="shared" si="146"/>
        <v>78059</v>
      </c>
      <c r="D281" s="135">
        <f t="shared" si="146"/>
        <v>1.4</v>
      </c>
      <c r="E281" s="135">
        <f t="shared" si="146"/>
        <v>0.2732</v>
      </c>
      <c r="F281" s="135">
        <f t="shared" si="106"/>
        <v>1.5</v>
      </c>
      <c r="G281" s="135">
        <f t="shared" ref="G281:H281" si="147">+F213</f>
        <v>1</v>
      </c>
      <c r="H281" s="135">
        <f t="shared" si="147"/>
        <v>31.160913917455488</v>
      </c>
      <c r="I281" s="28">
        <f t="shared" ref="I281:I282" si="148">IF(F281/E281&gt;=2,2.5,3)</f>
        <v>2.5</v>
      </c>
      <c r="J281" s="28">
        <f t="shared" ref="J281:J282" si="149">IF($F$241&lt;=F281,1-0.33*($F$241/F281),1)</f>
        <v>1</v>
      </c>
      <c r="K281" s="135">
        <f t="shared" ref="K281:K282" si="150">1/(1+4*EXP(-0.2133*F281))</f>
        <v>0.25609890700525334</v>
      </c>
      <c r="L281" s="135">
        <f t="shared" ref="L281:L282" si="151">1/I281*SQRT(32*J281*K281*K213*IF(E281&lt;=0.5,$F$239,$F$240))</f>
        <v>334.7652613008363</v>
      </c>
      <c r="W281" s="76"/>
      <c r="X281" s="76"/>
    </row>
    <row r="282" spans="1:24" s="74" customFormat="1">
      <c r="B282" s="140" t="str">
        <f t="shared" ref="B282:E282" si="152">+B214</f>
        <v>S20</v>
      </c>
      <c r="C282" s="140">
        <f t="shared" si="152"/>
        <v>78059</v>
      </c>
      <c r="D282" s="135">
        <f t="shared" si="152"/>
        <v>7.1</v>
      </c>
      <c r="E282" s="135">
        <f t="shared" si="152"/>
        <v>0.2732</v>
      </c>
      <c r="F282" s="135">
        <f t="shared" si="106"/>
        <v>1.5</v>
      </c>
      <c r="G282" s="135">
        <f t="shared" ref="G282:H282" si="153">+F214</f>
        <v>1</v>
      </c>
      <c r="H282" s="135">
        <f t="shared" si="153"/>
        <v>31.160913917455488</v>
      </c>
      <c r="I282" s="28">
        <f t="shared" si="148"/>
        <v>2.5</v>
      </c>
      <c r="J282" s="28">
        <f t="shared" si="149"/>
        <v>1</v>
      </c>
      <c r="K282" s="135">
        <f t="shared" si="150"/>
        <v>0.25609890700525334</v>
      </c>
      <c r="L282" s="135">
        <f t="shared" si="151"/>
        <v>334.7652613008363</v>
      </c>
      <c r="W282" s="76"/>
      <c r="X282" s="76"/>
    </row>
    <row r="283" spans="1:24" s="74" customFormat="1"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</row>
    <row r="284" spans="1:24">
      <c r="A284" s="17" t="s">
        <v>73</v>
      </c>
      <c r="H284" s="63"/>
    </row>
    <row r="285" spans="1:24">
      <c r="H285" s="63"/>
    </row>
    <row r="286" spans="1:24">
      <c r="H286" s="63"/>
    </row>
    <row r="287" spans="1:24">
      <c r="H287" s="63"/>
    </row>
    <row r="288" spans="1:24">
      <c r="H288" s="63"/>
    </row>
    <row r="289" spans="3:24">
      <c r="H289" s="63"/>
    </row>
    <row r="291" spans="3:24" s="31" customFormat="1" ht="27" customHeight="1">
      <c r="C291" s="163" t="str">
        <f>B$41</f>
        <v>Pozo de</v>
      </c>
      <c r="D291" s="163" t="str">
        <f>C$41</f>
        <v>Pozo a</v>
      </c>
      <c r="E291" s="163" t="s">
        <v>222</v>
      </c>
      <c r="F291" s="165" t="s">
        <v>204</v>
      </c>
      <c r="G291" s="163" t="s">
        <v>207</v>
      </c>
      <c r="H291" s="163" t="s">
        <v>206</v>
      </c>
      <c r="I291" s="163" t="s">
        <v>211</v>
      </c>
      <c r="J291" s="163" t="s">
        <v>230</v>
      </c>
      <c r="K291" s="163" t="s">
        <v>231</v>
      </c>
      <c r="W291" s="17"/>
      <c r="X291" s="17"/>
    </row>
    <row r="292" spans="3:24" s="74" customFormat="1">
      <c r="C292" s="135">
        <f t="shared" ref="C292:G301" si="154">+B245</f>
        <v>131946</v>
      </c>
      <c r="D292" s="135" t="str">
        <f t="shared" si="154"/>
        <v>131946A</v>
      </c>
      <c r="E292" s="135">
        <f t="shared" si="154"/>
        <v>7.41</v>
      </c>
      <c r="F292" s="135">
        <f t="shared" si="154"/>
        <v>0.2732</v>
      </c>
      <c r="G292" s="135">
        <f t="shared" si="154"/>
        <v>2.73</v>
      </c>
      <c r="H292" s="135">
        <f t="shared" ref="H292:H308" si="155">+K42</f>
        <v>14.91672</v>
      </c>
      <c r="I292" s="135">
        <f t="shared" ref="I292:I308" si="156">+L102</f>
        <v>14.194275271354622</v>
      </c>
      <c r="J292" s="135">
        <f t="shared" ref="J292:J308" si="157">10*IF(G292&gt;$F$241,G292-$F$241,0)+(J245*H292/F292)+I292/F292</f>
        <v>106.55561958768163</v>
      </c>
      <c r="K292" s="135" t="str">
        <f t="shared" ref="K292:K308" si="158">IF(J292&lt;L245,"OK","NO CUMPLE")</f>
        <v>OK</v>
      </c>
    </row>
    <row r="293" spans="3:24" s="74" customFormat="1">
      <c r="C293" s="135" t="str">
        <f t="shared" si="154"/>
        <v>131946A</v>
      </c>
      <c r="D293" s="135">
        <f t="shared" si="154"/>
        <v>131916</v>
      </c>
      <c r="E293" s="135">
        <f t="shared" si="154"/>
        <v>51.05</v>
      </c>
      <c r="F293" s="135">
        <f t="shared" si="154"/>
        <v>0.2732</v>
      </c>
      <c r="G293" s="135">
        <f t="shared" si="154"/>
        <v>2.76</v>
      </c>
      <c r="H293" s="135">
        <f t="shared" si="155"/>
        <v>15.080639999999999</v>
      </c>
      <c r="I293" s="135">
        <f t="shared" si="156"/>
        <v>14.063275952237598</v>
      </c>
      <c r="J293" s="135">
        <f t="shared" si="157"/>
        <v>106.67611988373937</v>
      </c>
      <c r="K293" s="135" t="str">
        <f t="shared" si="158"/>
        <v>OK</v>
      </c>
    </row>
    <row r="294" spans="3:24" s="74" customFormat="1">
      <c r="C294" s="135">
        <f t="shared" si="154"/>
        <v>80268</v>
      </c>
      <c r="D294" s="135">
        <f t="shared" si="154"/>
        <v>131796</v>
      </c>
      <c r="E294" s="135">
        <f t="shared" si="154"/>
        <v>58.81</v>
      </c>
      <c r="F294" s="135">
        <f t="shared" si="154"/>
        <v>0.2732</v>
      </c>
      <c r="G294" s="135">
        <f t="shared" si="154"/>
        <v>2.98</v>
      </c>
      <c r="H294" s="135">
        <f t="shared" si="155"/>
        <v>16.282719999999998</v>
      </c>
      <c r="I294" s="135">
        <f t="shared" si="156"/>
        <v>13.171813964592518</v>
      </c>
      <c r="J294" s="135">
        <f t="shared" si="157"/>
        <v>107.81308186161243</v>
      </c>
      <c r="K294" s="135" t="str">
        <f t="shared" si="158"/>
        <v>OK</v>
      </c>
    </row>
    <row r="295" spans="3:24" s="74" customFormat="1">
      <c r="C295" s="135">
        <f t="shared" si="154"/>
        <v>131796</v>
      </c>
      <c r="D295" s="135">
        <f t="shared" si="154"/>
        <v>131732</v>
      </c>
      <c r="E295" s="135">
        <f t="shared" si="154"/>
        <v>62.58</v>
      </c>
      <c r="F295" s="135">
        <f t="shared" si="154"/>
        <v>0.2732</v>
      </c>
      <c r="G295" s="135">
        <f t="shared" si="154"/>
        <v>3.17</v>
      </c>
      <c r="H295" s="135">
        <f t="shared" si="155"/>
        <v>17.320879999999999</v>
      </c>
      <c r="I295" s="135">
        <f t="shared" si="156"/>
        <v>12.488146017647312</v>
      </c>
      <c r="J295" s="135">
        <f t="shared" si="157"/>
        <v>109.1106369606417</v>
      </c>
      <c r="K295" s="135" t="str">
        <f t="shared" si="158"/>
        <v>OK</v>
      </c>
    </row>
    <row r="296" spans="3:24" s="74" customFormat="1">
      <c r="C296" s="135" t="str">
        <f t="shared" si="154"/>
        <v>78819A</v>
      </c>
      <c r="D296" s="135" t="str">
        <f t="shared" si="154"/>
        <v>131750A</v>
      </c>
      <c r="E296" s="135">
        <f t="shared" si="154"/>
        <v>30.3</v>
      </c>
      <c r="F296" s="135">
        <f t="shared" si="154"/>
        <v>0.32400000000000001</v>
      </c>
      <c r="G296" s="135">
        <f t="shared" si="154"/>
        <v>2.98</v>
      </c>
      <c r="H296" s="135">
        <f t="shared" si="155"/>
        <v>19.310399999999998</v>
      </c>
      <c r="I296" s="135">
        <f t="shared" si="156"/>
        <v>13.028785472904199</v>
      </c>
      <c r="J296" s="135">
        <f t="shared" si="157"/>
        <v>99.812300842296906</v>
      </c>
      <c r="K296" s="135" t="str">
        <f t="shared" si="158"/>
        <v>OK</v>
      </c>
    </row>
    <row r="297" spans="3:24" s="74" customFormat="1">
      <c r="C297" s="135" t="str">
        <f t="shared" si="154"/>
        <v>131750A</v>
      </c>
      <c r="D297" s="135">
        <f t="shared" si="154"/>
        <v>131732</v>
      </c>
      <c r="E297" s="135">
        <f t="shared" si="154"/>
        <v>30.16</v>
      </c>
      <c r="F297" s="135">
        <f t="shared" si="154"/>
        <v>0.32400000000000001</v>
      </c>
      <c r="G297" s="135">
        <f t="shared" si="154"/>
        <v>2.63</v>
      </c>
      <c r="H297" s="135">
        <f t="shared" si="155"/>
        <v>17.042400000000001</v>
      </c>
      <c r="I297" s="135">
        <f t="shared" si="156"/>
        <v>14.472434534846908</v>
      </c>
      <c r="J297" s="135">
        <f t="shared" si="157"/>
        <v>97.268007823601565</v>
      </c>
      <c r="K297" s="135" t="str">
        <f t="shared" si="158"/>
        <v>OK</v>
      </c>
    </row>
    <row r="298" spans="3:24" s="74" customFormat="1">
      <c r="C298" s="135" t="str">
        <f t="shared" si="154"/>
        <v>131732A</v>
      </c>
      <c r="D298" s="135">
        <f t="shared" si="154"/>
        <v>131732</v>
      </c>
      <c r="E298" s="135">
        <f t="shared" si="154"/>
        <v>41.14</v>
      </c>
      <c r="F298" s="135">
        <f t="shared" si="154"/>
        <v>0.2732</v>
      </c>
      <c r="G298" s="135">
        <f t="shared" si="154"/>
        <v>2.37</v>
      </c>
      <c r="H298" s="135">
        <f t="shared" si="155"/>
        <v>12.949680000000001</v>
      </c>
      <c r="I298" s="135">
        <f t="shared" si="156"/>
        <v>15.980583590937011</v>
      </c>
      <c r="J298" s="135">
        <f t="shared" si="157"/>
        <v>105.89408342217061</v>
      </c>
      <c r="K298" s="135" t="str">
        <f t="shared" si="158"/>
        <v>OK</v>
      </c>
    </row>
    <row r="299" spans="3:24" s="74" customFormat="1">
      <c r="C299" s="135">
        <f t="shared" si="154"/>
        <v>80265</v>
      </c>
      <c r="D299" s="135" t="str">
        <f t="shared" si="154"/>
        <v>80265A</v>
      </c>
      <c r="E299" s="135">
        <f t="shared" si="154"/>
        <v>11.92</v>
      </c>
      <c r="F299" s="135">
        <f t="shared" si="154"/>
        <v>0.2732</v>
      </c>
      <c r="G299" s="135">
        <f t="shared" si="154"/>
        <v>2.4500000000000002</v>
      </c>
      <c r="H299" s="135">
        <f t="shared" si="155"/>
        <v>13.386799999999999</v>
      </c>
      <c r="I299" s="135">
        <f t="shared" si="156"/>
        <v>15.545828616955639</v>
      </c>
      <c r="J299" s="135">
        <f t="shared" si="157"/>
        <v>105.90274017919342</v>
      </c>
      <c r="K299" s="135" t="str">
        <f t="shared" si="158"/>
        <v>OK</v>
      </c>
    </row>
    <row r="300" spans="3:24" s="74" customFormat="1">
      <c r="C300" s="135" t="str">
        <f t="shared" si="154"/>
        <v>80265A</v>
      </c>
      <c r="D300" s="135" t="str">
        <f t="shared" si="154"/>
        <v>131732B</v>
      </c>
      <c r="E300" s="135">
        <f t="shared" si="154"/>
        <v>43.78</v>
      </c>
      <c r="F300" s="135">
        <f t="shared" si="154"/>
        <v>0.2732</v>
      </c>
      <c r="G300" s="135">
        <f t="shared" si="154"/>
        <v>2.2999999999999998</v>
      </c>
      <c r="H300" s="135">
        <f t="shared" si="155"/>
        <v>12.567199999999998</v>
      </c>
      <c r="I300" s="135">
        <f t="shared" si="156"/>
        <v>16.381441874036952</v>
      </c>
      <c r="J300" s="135">
        <f t="shared" si="157"/>
        <v>105.96135385811475</v>
      </c>
      <c r="K300" s="135" t="str">
        <f t="shared" si="158"/>
        <v>OK</v>
      </c>
    </row>
    <row r="301" spans="3:24" s="74" customFormat="1">
      <c r="C301" s="135" t="str">
        <f t="shared" si="154"/>
        <v>PZ-V1</v>
      </c>
      <c r="D301" s="135" t="str">
        <f t="shared" si="154"/>
        <v>80265A</v>
      </c>
      <c r="E301" s="135">
        <f t="shared" si="154"/>
        <v>6.74</v>
      </c>
      <c r="F301" s="135">
        <f t="shared" si="154"/>
        <v>0.2732</v>
      </c>
      <c r="G301" s="135">
        <f t="shared" si="154"/>
        <v>1.46</v>
      </c>
      <c r="H301" s="135">
        <f t="shared" si="155"/>
        <v>7.9774399999999996</v>
      </c>
      <c r="I301" s="135">
        <f t="shared" si="156"/>
        <v>23.43584072416748</v>
      </c>
      <c r="J301" s="135">
        <f t="shared" si="157"/>
        <v>114.98272593033485</v>
      </c>
      <c r="K301" s="135" t="str">
        <f t="shared" si="158"/>
        <v>OK</v>
      </c>
    </row>
    <row r="302" spans="3:24" s="74" customFormat="1">
      <c r="C302" s="135" t="str">
        <f t="shared" ref="C302:G308" si="159">+B255</f>
        <v>PZ-V2</v>
      </c>
      <c r="D302" s="135" t="str">
        <f t="shared" si="159"/>
        <v>131732B</v>
      </c>
      <c r="E302" s="135">
        <f t="shared" si="159"/>
        <v>6.78</v>
      </c>
      <c r="F302" s="135">
        <f t="shared" si="159"/>
        <v>0.2732</v>
      </c>
      <c r="G302" s="135">
        <f t="shared" si="159"/>
        <v>1.75</v>
      </c>
      <c r="H302" s="135">
        <f t="shared" si="155"/>
        <v>9.5619999999999994</v>
      </c>
      <c r="I302" s="135">
        <f t="shared" si="156"/>
        <v>20.402568173268811</v>
      </c>
      <c r="J302" s="135">
        <f t="shared" si="157"/>
        <v>109.67997135164279</v>
      </c>
      <c r="K302" s="135" t="str">
        <f t="shared" si="158"/>
        <v>OK</v>
      </c>
    </row>
    <row r="303" spans="3:24" s="74" customFormat="1">
      <c r="C303" s="135" t="str">
        <f t="shared" si="159"/>
        <v>PA-01</v>
      </c>
      <c r="D303" s="135" t="str">
        <f t="shared" si="159"/>
        <v>PA-02</v>
      </c>
      <c r="E303" s="135">
        <f t="shared" si="159"/>
        <v>33.71</v>
      </c>
      <c r="F303" s="135">
        <f t="shared" si="159"/>
        <v>0.32400000000000001</v>
      </c>
      <c r="G303" s="135">
        <f t="shared" si="159"/>
        <v>1.2</v>
      </c>
      <c r="H303" s="135">
        <f t="shared" si="155"/>
        <v>7.7759999999999989</v>
      </c>
      <c r="I303" s="135">
        <f t="shared" si="156"/>
        <v>26.444095529295097</v>
      </c>
      <c r="J303" s="135">
        <f t="shared" si="157"/>
        <v>105.61757879412067</v>
      </c>
      <c r="K303" s="135" t="str">
        <f t="shared" si="158"/>
        <v>OK</v>
      </c>
    </row>
    <row r="304" spans="3:24" s="74" customFormat="1">
      <c r="C304" s="135" t="str">
        <f t="shared" si="159"/>
        <v>PA-02</v>
      </c>
      <c r="D304" s="135">
        <f t="shared" si="159"/>
        <v>78059</v>
      </c>
      <c r="E304" s="135">
        <f t="shared" si="159"/>
        <v>20.75</v>
      </c>
      <c r="F304" s="135">
        <f t="shared" si="159"/>
        <v>0.32400000000000001</v>
      </c>
      <c r="G304" s="135">
        <f t="shared" si="159"/>
        <v>1.25</v>
      </c>
      <c r="H304" s="135">
        <f t="shared" si="155"/>
        <v>8.1</v>
      </c>
      <c r="I304" s="135">
        <f t="shared" si="156"/>
        <v>25.700746927957592</v>
      </c>
      <c r="J304" s="135">
        <f t="shared" si="157"/>
        <v>104.32329298752343</v>
      </c>
      <c r="K304" s="135" t="str">
        <f t="shared" si="158"/>
        <v>OK</v>
      </c>
    </row>
    <row r="305" spans="3:11" s="74" customFormat="1">
      <c r="C305" s="135" t="str">
        <f t="shared" si="159"/>
        <v>PA-03</v>
      </c>
      <c r="D305" s="135">
        <f t="shared" si="159"/>
        <v>78315</v>
      </c>
      <c r="E305" s="135">
        <f t="shared" si="159"/>
        <v>24.96</v>
      </c>
      <c r="F305" s="135">
        <f t="shared" si="159"/>
        <v>0.32400000000000001</v>
      </c>
      <c r="G305" s="135">
        <f t="shared" si="159"/>
        <v>1.2</v>
      </c>
      <c r="H305" s="135">
        <f t="shared" si="155"/>
        <v>7.7759999999999989</v>
      </c>
      <c r="I305" s="135">
        <f t="shared" si="156"/>
        <v>26.444095529295097</v>
      </c>
      <c r="J305" s="135">
        <f t="shared" si="157"/>
        <v>105.61757879412067</v>
      </c>
      <c r="K305" s="135" t="str">
        <f t="shared" si="158"/>
        <v>OK</v>
      </c>
    </row>
    <row r="306" spans="3:11" s="74" customFormat="1">
      <c r="C306" s="135" t="str">
        <f t="shared" si="159"/>
        <v>PA-04</v>
      </c>
      <c r="D306" s="135">
        <f t="shared" si="159"/>
        <v>78059</v>
      </c>
      <c r="E306" s="135">
        <f t="shared" si="159"/>
        <v>8.75</v>
      </c>
      <c r="F306" s="135">
        <f t="shared" si="159"/>
        <v>0.32400000000000001</v>
      </c>
      <c r="G306" s="135">
        <f t="shared" si="159"/>
        <v>1.75</v>
      </c>
      <c r="H306" s="135">
        <f t="shared" si="155"/>
        <v>11.34</v>
      </c>
      <c r="I306" s="135">
        <f t="shared" si="156"/>
        <v>20.061438154347687</v>
      </c>
      <c r="J306" s="135">
        <f t="shared" si="157"/>
        <v>96.918018994900265</v>
      </c>
      <c r="K306" s="135" t="str">
        <f t="shared" si="158"/>
        <v>OK</v>
      </c>
    </row>
    <row r="307" spans="3:11" s="74" customFormat="1">
      <c r="C307" s="135" t="str">
        <f t="shared" si="159"/>
        <v>PA-05</v>
      </c>
      <c r="D307" s="135">
        <f t="shared" si="159"/>
        <v>78819</v>
      </c>
      <c r="E307" s="135">
        <f t="shared" si="159"/>
        <v>11.14</v>
      </c>
      <c r="F307" s="135">
        <f t="shared" si="159"/>
        <v>0.32400000000000001</v>
      </c>
      <c r="G307" s="135">
        <f t="shared" si="159"/>
        <v>1.24</v>
      </c>
      <c r="H307" s="135">
        <f t="shared" si="155"/>
        <v>8.0351999999999997</v>
      </c>
      <c r="I307" s="135">
        <f t="shared" si="156"/>
        <v>25.84605443825216</v>
      </c>
      <c r="J307" s="135">
        <f t="shared" si="157"/>
        <v>104.57177295756838</v>
      </c>
      <c r="K307" s="135" t="str">
        <f t="shared" si="158"/>
        <v>OK</v>
      </c>
    </row>
    <row r="308" spans="3:11" s="74" customFormat="1">
      <c r="C308" s="135" t="str">
        <f t="shared" si="159"/>
        <v>PA-06</v>
      </c>
      <c r="D308" s="135">
        <f t="shared" si="159"/>
        <v>78812</v>
      </c>
      <c r="E308" s="135">
        <f t="shared" si="159"/>
        <v>8.59</v>
      </c>
      <c r="F308" s="135">
        <f t="shared" si="159"/>
        <v>0.32400000000000001</v>
      </c>
      <c r="G308" s="135">
        <f t="shared" si="159"/>
        <v>1.3</v>
      </c>
      <c r="H308" s="135">
        <f t="shared" si="155"/>
        <v>8.4239999999999995</v>
      </c>
      <c r="I308" s="135">
        <f t="shared" si="156"/>
        <v>24.998047027575971</v>
      </c>
      <c r="J308" s="135">
        <f t="shared" si="157"/>
        <v>103.15446613449373</v>
      </c>
      <c r="K308" s="135" t="str">
        <f t="shared" si="158"/>
        <v>OK</v>
      </c>
    </row>
    <row r="309" spans="3:11" s="74" customFormat="1">
      <c r="C309" s="283" t="str">
        <f t="shared" ref="C309" si="160">+B262</f>
        <v>SUMIDEROS</v>
      </c>
      <c r="D309" s="284"/>
      <c r="E309" s="284"/>
      <c r="F309" s="284"/>
      <c r="G309" s="284"/>
      <c r="H309" s="284"/>
      <c r="I309" s="284"/>
      <c r="J309" s="284"/>
      <c r="K309" s="285"/>
    </row>
    <row r="310" spans="3:11" s="74" customFormat="1">
      <c r="C310" s="135" t="str">
        <f t="shared" ref="C310:G310" si="161">+B263</f>
        <v>S1</v>
      </c>
      <c r="D310" s="135">
        <f t="shared" si="161"/>
        <v>79804</v>
      </c>
      <c r="E310" s="135">
        <f t="shared" si="161"/>
        <v>8.5</v>
      </c>
      <c r="F310" s="135">
        <f t="shared" si="161"/>
        <v>0.2732</v>
      </c>
      <c r="G310" s="135">
        <f t="shared" si="161"/>
        <v>1.1000000000000001</v>
      </c>
      <c r="H310" s="135">
        <f t="shared" ref="H310:H325" si="162">+K60</f>
        <v>6.0103999999999997</v>
      </c>
      <c r="I310" s="135">
        <f t="shared" ref="I310:I325" si="163">+L120</f>
        <v>28.740019579138334</v>
      </c>
      <c r="J310" s="135">
        <f t="shared" ref="J310:J325" si="164">10*IF(G310&gt;$F$241,G310-$F$241,0)+(J263*H310/F310)+I310/F310</f>
        <v>127.19772905980356</v>
      </c>
      <c r="K310" s="135" t="str">
        <f t="shared" ref="K310:K329" si="165">IF(J310&lt;L263,"OK","NO CUMPLE")</f>
        <v>OK</v>
      </c>
    </row>
    <row r="311" spans="3:11" s="74" customFormat="1">
      <c r="C311" s="135" t="str">
        <f t="shared" ref="C311:G311" si="166">+B264</f>
        <v>S2</v>
      </c>
      <c r="D311" s="135">
        <f t="shared" si="166"/>
        <v>79804</v>
      </c>
      <c r="E311" s="135">
        <f t="shared" si="166"/>
        <v>7.2</v>
      </c>
      <c r="F311" s="135">
        <f t="shared" si="166"/>
        <v>0.2732</v>
      </c>
      <c r="G311" s="135">
        <f t="shared" si="166"/>
        <v>1.1000000000000001</v>
      </c>
      <c r="H311" s="135">
        <f t="shared" si="162"/>
        <v>6.0103999999999997</v>
      </c>
      <c r="I311" s="135">
        <f t="shared" si="163"/>
        <v>28.740019579138334</v>
      </c>
      <c r="J311" s="135">
        <f t="shared" si="164"/>
        <v>127.19772905980356</v>
      </c>
      <c r="K311" s="135" t="str">
        <f t="shared" si="165"/>
        <v>OK</v>
      </c>
    </row>
    <row r="312" spans="3:11" s="74" customFormat="1">
      <c r="C312" s="135" t="str">
        <f t="shared" ref="C312:G312" si="167">+B265</f>
        <v>S3</v>
      </c>
      <c r="D312" s="135" t="str">
        <f t="shared" si="167"/>
        <v>PA-03</v>
      </c>
      <c r="E312" s="135">
        <f t="shared" si="167"/>
        <v>3.2</v>
      </c>
      <c r="F312" s="135">
        <f t="shared" si="167"/>
        <v>0.2732</v>
      </c>
      <c r="G312" s="135">
        <f t="shared" si="167"/>
        <v>1.22</v>
      </c>
      <c r="H312" s="135">
        <f t="shared" si="162"/>
        <v>6.66608</v>
      </c>
      <c r="I312" s="135">
        <f t="shared" si="163"/>
        <v>26.72390035325656</v>
      </c>
      <c r="J312" s="135">
        <f t="shared" si="164"/>
        <v>122.21808328424802</v>
      </c>
      <c r="K312" s="135" t="str">
        <f t="shared" si="165"/>
        <v>OK</v>
      </c>
    </row>
    <row r="313" spans="3:11" s="74" customFormat="1">
      <c r="C313" s="135" t="str">
        <f t="shared" ref="C313:G313" si="168">+B266</f>
        <v>S4</v>
      </c>
      <c r="D313" s="135" t="str">
        <f t="shared" si="168"/>
        <v>PA-03</v>
      </c>
      <c r="E313" s="135">
        <f t="shared" si="168"/>
        <v>1.6</v>
      </c>
      <c r="F313" s="135">
        <f t="shared" si="168"/>
        <v>0.2732</v>
      </c>
      <c r="G313" s="135">
        <f t="shared" si="168"/>
        <v>1.19</v>
      </c>
      <c r="H313" s="135">
        <f t="shared" si="162"/>
        <v>6.5021599999999999</v>
      </c>
      <c r="I313" s="135">
        <f t="shared" si="163"/>
        <v>27.200938432375917</v>
      </c>
      <c r="J313" s="135">
        <f t="shared" si="164"/>
        <v>123.36419631177129</v>
      </c>
      <c r="K313" s="135" t="str">
        <f t="shared" si="165"/>
        <v>OK</v>
      </c>
    </row>
    <row r="314" spans="3:11" s="74" customFormat="1">
      <c r="C314" s="135" t="str">
        <f t="shared" ref="C314:G314" si="169">+B267</f>
        <v>S5</v>
      </c>
      <c r="D314" s="135">
        <f t="shared" si="169"/>
        <v>78315</v>
      </c>
      <c r="E314" s="135">
        <f t="shared" si="169"/>
        <v>12</v>
      </c>
      <c r="F314" s="135">
        <f t="shared" si="169"/>
        <v>0.2732</v>
      </c>
      <c r="G314" s="135">
        <f t="shared" si="169"/>
        <v>1.4</v>
      </c>
      <c r="H314" s="135">
        <f t="shared" si="162"/>
        <v>7.6495999999999995</v>
      </c>
      <c r="I314" s="135">
        <f t="shared" si="163"/>
        <v>24.179593933944375</v>
      </c>
      <c r="J314" s="135">
        <f t="shared" si="164"/>
        <v>116.50510224723416</v>
      </c>
      <c r="K314" s="135" t="str">
        <f t="shared" si="165"/>
        <v>OK</v>
      </c>
    </row>
    <row r="315" spans="3:11" s="74" customFormat="1">
      <c r="C315" s="135" t="str">
        <f t="shared" ref="C315:G315" si="170">+B268</f>
        <v>S6</v>
      </c>
      <c r="D315" s="135">
        <f t="shared" si="170"/>
        <v>78315</v>
      </c>
      <c r="E315" s="135">
        <f t="shared" si="170"/>
        <v>7.1</v>
      </c>
      <c r="F315" s="135">
        <f t="shared" si="170"/>
        <v>0.2732</v>
      </c>
      <c r="G315" s="135">
        <f t="shared" si="170"/>
        <v>1.4</v>
      </c>
      <c r="H315" s="135">
        <f t="shared" si="162"/>
        <v>7.6495999999999995</v>
      </c>
      <c r="I315" s="135">
        <f t="shared" si="163"/>
        <v>24.179593933944375</v>
      </c>
      <c r="J315" s="135">
        <f t="shared" si="164"/>
        <v>116.50510224723416</v>
      </c>
      <c r="K315" s="135" t="str">
        <f t="shared" si="165"/>
        <v>OK</v>
      </c>
    </row>
    <row r="316" spans="3:11" s="74" customFormat="1">
      <c r="C316" s="135" t="str">
        <f t="shared" ref="C316:G316" si="171">+B269</f>
        <v>S7</v>
      </c>
      <c r="D316" s="135" t="str">
        <f t="shared" si="171"/>
        <v>PA-01</v>
      </c>
      <c r="E316" s="135">
        <f t="shared" si="171"/>
        <v>2</v>
      </c>
      <c r="F316" s="135">
        <f t="shared" si="171"/>
        <v>0.2732</v>
      </c>
      <c r="G316" s="135">
        <f t="shared" si="171"/>
        <v>1.1000000000000001</v>
      </c>
      <c r="H316" s="135">
        <f t="shared" si="162"/>
        <v>6.0103999999999997</v>
      </c>
      <c r="I316" s="135">
        <f t="shared" si="163"/>
        <v>28.740019579138334</v>
      </c>
      <c r="J316" s="135">
        <f t="shared" si="164"/>
        <v>127.19772905980356</v>
      </c>
      <c r="K316" s="135" t="str">
        <f t="shared" si="165"/>
        <v>OK</v>
      </c>
    </row>
    <row r="317" spans="3:11" s="74" customFormat="1">
      <c r="C317" s="135" t="str">
        <f t="shared" ref="C317:G317" si="172">+B270</f>
        <v>S8</v>
      </c>
      <c r="D317" s="135" t="str">
        <f t="shared" si="172"/>
        <v>PA-01</v>
      </c>
      <c r="E317" s="135">
        <f t="shared" si="172"/>
        <v>3.1</v>
      </c>
      <c r="F317" s="135">
        <f t="shared" si="172"/>
        <v>0.2732</v>
      </c>
      <c r="G317" s="135">
        <f t="shared" si="172"/>
        <v>1.1000000000000001</v>
      </c>
      <c r="H317" s="135">
        <f t="shared" si="162"/>
        <v>6.0103999999999997</v>
      </c>
      <c r="I317" s="135">
        <f t="shared" si="163"/>
        <v>28.740019579138334</v>
      </c>
      <c r="J317" s="135">
        <f t="shared" si="164"/>
        <v>127.19772905980356</v>
      </c>
      <c r="K317" s="135" t="str">
        <f t="shared" si="165"/>
        <v>OK</v>
      </c>
    </row>
    <row r="318" spans="3:11" s="74" customFormat="1">
      <c r="C318" s="135" t="str">
        <f t="shared" ref="C318:G318" si="173">+B271</f>
        <v>S9</v>
      </c>
      <c r="D318" s="135" t="str">
        <f t="shared" si="173"/>
        <v>PA-02</v>
      </c>
      <c r="E318" s="135">
        <f t="shared" si="173"/>
        <v>2.1</v>
      </c>
      <c r="F318" s="135">
        <f t="shared" si="173"/>
        <v>0.2732</v>
      </c>
      <c r="G318" s="135">
        <f t="shared" si="173"/>
        <v>1.2</v>
      </c>
      <c r="H318" s="135">
        <f t="shared" si="162"/>
        <v>6.5567999999999991</v>
      </c>
      <c r="I318" s="135">
        <f t="shared" si="163"/>
        <v>27.040044616073615</v>
      </c>
      <c r="J318" s="135">
        <f t="shared" si="164"/>
        <v>122.9752731188639</v>
      </c>
      <c r="K318" s="135" t="str">
        <f t="shared" si="165"/>
        <v>OK</v>
      </c>
    </row>
    <row r="319" spans="3:11" s="74" customFormat="1">
      <c r="C319" s="135" t="str">
        <f t="shared" ref="C319:G319" si="174">+B272</f>
        <v>S10</v>
      </c>
      <c r="D319" s="135" t="str">
        <f t="shared" si="174"/>
        <v>PA-02</v>
      </c>
      <c r="E319" s="135">
        <f t="shared" si="174"/>
        <v>3.1</v>
      </c>
      <c r="F319" s="135">
        <f t="shared" si="174"/>
        <v>0.2732</v>
      </c>
      <c r="G319" s="135">
        <f t="shared" si="174"/>
        <v>1.1000000000000001</v>
      </c>
      <c r="H319" s="135">
        <f t="shared" si="162"/>
        <v>6.0103999999999997</v>
      </c>
      <c r="I319" s="135">
        <f t="shared" si="163"/>
        <v>28.740019579138334</v>
      </c>
      <c r="J319" s="135">
        <f t="shared" si="164"/>
        <v>127.19772905980356</v>
      </c>
      <c r="K319" s="135" t="str">
        <f t="shared" si="165"/>
        <v>OK</v>
      </c>
    </row>
    <row r="320" spans="3:11" s="74" customFormat="1">
      <c r="C320" s="135" t="str">
        <f t="shared" ref="C320:G320" si="175">+B273</f>
        <v>S11</v>
      </c>
      <c r="D320" s="135">
        <f t="shared" si="175"/>
        <v>78059</v>
      </c>
      <c r="E320" s="135">
        <f t="shared" si="175"/>
        <v>8.1</v>
      </c>
      <c r="F320" s="135">
        <f t="shared" si="175"/>
        <v>0.2732</v>
      </c>
      <c r="G320" s="135">
        <f t="shared" si="175"/>
        <v>1.03</v>
      </c>
      <c r="H320" s="135">
        <f t="shared" si="162"/>
        <v>5.6279199999999996</v>
      </c>
      <c r="I320" s="135">
        <f t="shared" si="163"/>
        <v>30.063038433715693</v>
      </c>
      <c r="J320" s="135">
        <f t="shared" si="164"/>
        <v>130.64040422297106</v>
      </c>
      <c r="K320" s="135" t="str">
        <f t="shared" si="165"/>
        <v>OK</v>
      </c>
    </row>
    <row r="321" spans="1:11" s="74" customFormat="1">
      <c r="C321" s="135" t="str">
        <f t="shared" ref="C321:G321" si="176">+B274</f>
        <v>S12</v>
      </c>
      <c r="D321" s="135">
        <f t="shared" si="176"/>
        <v>78059</v>
      </c>
      <c r="E321" s="135">
        <f t="shared" si="176"/>
        <v>6.2</v>
      </c>
      <c r="F321" s="135">
        <f t="shared" si="176"/>
        <v>0.2732</v>
      </c>
      <c r="G321" s="135">
        <f t="shared" si="176"/>
        <v>1.05</v>
      </c>
      <c r="H321" s="135">
        <f t="shared" si="162"/>
        <v>5.7372000000000005</v>
      </c>
      <c r="I321" s="135">
        <f t="shared" si="163"/>
        <v>29.67276503806459</v>
      </c>
      <c r="J321" s="135">
        <f t="shared" si="164"/>
        <v>129.61187788457025</v>
      </c>
      <c r="K321" s="135" t="str">
        <f t="shared" si="165"/>
        <v>OK</v>
      </c>
    </row>
    <row r="322" spans="1:11" s="74" customFormat="1">
      <c r="C322" s="135" t="str">
        <f t="shared" ref="C322:G322" si="177">+B275</f>
        <v>S13</v>
      </c>
      <c r="D322" s="135">
        <f t="shared" si="177"/>
        <v>79319</v>
      </c>
      <c r="E322" s="135">
        <f t="shared" si="177"/>
        <v>3.3</v>
      </c>
      <c r="F322" s="135">
        <f t="shared" si="177"/>
        <v>0.2732</v>
      </c>
      <c r="G322" s="135">
        <f t="shared" si="177"/>
        <v>1.2</v>
      </c>
      <c r="H322" s="135">
        <f t="shared" si="162"/>
        <v>6.5567999999999991</v>
      </c>
      <c r="I322" s="135">
        <f t="shared" si="163"/>
        <v>27.040044616073615</v>
      </c>
      <c r="J322" s="135">
        <f t="shared" si="164"/>
        <v>122.9752731188639</v>
      </c>
      <c r="K322" s="135" t="str">
        <f t="shared" si="165"/>
        <v>OK</v>
      </c>
    </row>
    <row r="323" spans="1:11" s="74" customFormat="1">
      <c r="C323" s="135" t="str">
        <f t="shared" ref="C323:G323" si="178">+B276</f>
        <v>S14</v>
      </c>
      <c r="D323" s="135">
        <f t="shared" si="178"/>
        <v>79319</v>
      </c>
      <c r="E323" s="135">
        <f t="shared" si="178"/>
        <v>4</v>
      </c>
      <c r="F323" s="135">
        <f t="shared" si="178"/>
        <v>0.2732</v>
      </c>
      <c r="G323" s="135">
        <f t="shared" si="178"/>
        <v>1.2</v>
      </c>
      <c r="H323" s="135">
        <f t="shared" si="162"/>
        <v>6.5567999999999991</v>
      </c>
      <c r="I323" s="135">
        <f t="shared" si="163"/>
        <v>27.040044616073615</v>
      </c>
      <c r="J323" s="135">
        <f t="shared" si="164"/>
        <v>122.9752731188639</v>
      </c>
      <c r="K323" s="135" t="str">
        <f t="shared" si="165"/>
        <v>OK</v>
      </c>
    </row>
    <row r="324" spans="1:11" s="74" customFormat="1">
      <c r="C324" s="135" t="str">
        <f t="shared" ref="C324:G324" si="179">+B277</f>
        <v>S15</v>
      </c>
      <c r="D324" s="135">
        <f t="shared" si="179"/>
        <v>78819</v>
      </c>
      <c r="E324" s="135">
        <f t="shared" si="179"/>
        <v>1.9</v>
      </c>
      <c r="F324" s="135">
        <f t="shared" si="179"/>
        <v>0.2732</v>
      </c>
      <c r="G324" s="135">
        <f t="shared" si="179"/>
        <v>1.0900000000000001</v>
      </c>
      <c r="H324" s="135">
        <f t="shared" si="162"/>
        <v>5.9557599999999997</v>
      </c>
      <c r="I324" s="135">
        <f t="shared" si="163"/>
        <v>28.921847744547776</v>
      </c>
      <c r="J324" s="135">
        <f t="shared" si="164"/>
        <v>127.66327871357166</v>
      </c>
      <c r="K324" s="135" t="str">
        <f t="shared" si="165"/>
        <v>OK</v>
      </c>
    </row>
    <row r="325" spans="1:11" s="74" customFormat="1">
      <c r="C325" s="135" t="str">
        <f t="shared" ref="C325:G325" si="180">+B278</f>
        <v>S16</v>
      </c>
      <c r="D325" s="135">
        <f t="shared" si="180"/>
        <v>78819</v>
      </c>
      <c r="E325" s="135">
        <f t="shared" si="180"/>
        <v>5.3</v>
      </c>
      <c r="F325" s="135">
        <f t="shared" si="180"/>
        <v>0.2732</v>
      </c>
      <c r="G325" s="135">
        <f t="shared" si="180"/>
        <v>1.24</v>
      </c>
      <c r="H325" s="135">
        <f t="shared" si="162"/>
        <v>6.7753599999999983</v>
      </c>
      <c r="I325" s="135">
        <f t="shared" si="163"/>
        <v>26.415063189783975</v>
      </c>
      <c r="J325" s="135">
        <f t="shared" si="164"/>
        <v>121.48763978691059</v>
      </c>
      <c r="K325" s="135" t="str">
        <f t="shared" si="165"/>
        <v>OK</v>
      </c>
    </row>
    <row r="326" spans="1:11" s="74" customFormat="1">
      <c r="C326" s="135" t="str">
        <f t="shared" ref="C326:G326" si="181">+B279</f>
        <v>S17</v>
      </c>
      <c r="D326" s="135">
        <f t="shared" si="181"/>
        <v>78819</v>
      </c>
      <c r="E326" s="135">
        <f t="shared" si="181"/>
        <v>2.6</v>
      </c>
      <c r="F326" s="135">
        <f t="shared" si="181"/>
        <v>0.2732</v>
      </c>
      <c r="G326" s="135">
        <f t="shared" si="181"/>
        <v>1.1100000000000001</v>
      </c>
      <c r="H326" s="135">
        <f t="shared" ref="H326:H329" si="182">+K76</f>
        <v>6.0650399999999998</v>
      </c>
      <c r="I326" s="135">
        <f t="shared" ref="I326:I329" si="183">+L136</f>
        <v>28.56046339351856</v>
      </c>
      <c r="J326" s="135">
        <f t="shared" ref="J326:J329" si="184">10*IF(G326&gt;$F$241,G326-$F$241,0)+(J279*H326/F326)+I326/F326</f>
        <v>126.74049558388931</v>
      </c>
      <c r="K326" s="135" t="str">
        <f t="shared" si="165"/>
        <v>OK</v>
      </c>
    </row>
    <row r="327" spans="1:11" s="74" customFormat="1">
      <c r="C327" s="135" t="str">
        <f t="shared" ref="C327:G327" si="185">+B280</f>
        <v>S18</v>
      </c>
      <c r="D327" s="135">
        <f t="shared" si="185"/>
        <v>78819</v>
      </c>
      <c r="E327" s="135">
        <f t="shared" si="185"/>
        <v>3</v>
      </c>
      <c r="F327" s="135">
        <f t="shared" si="185"/>
        <v>0.2732</v>
      </c>
      <c r="G327" s="135">
        <f t="shared" si="185"/>
        <v>1.1100000000000001</v>
      </c>
      <c r="H327" s="135">
        <f t="shared" si="182"/>
        <v>6.0650399999999998</v>
      </c>
      <c r="I327" s="135">
        <f t="shared" si="183"/>
        <v>28.56046339351856</v>
      </c>
      <c r="J327" s="135">
        <f t="shared" si="184"/>
        <v>126.74049558388931</v>
      </c>
      <c r="K327" s="135" t="str">
        <f t="shared" si="165"/>
        <v>OK</v>
      </c>
    </row>
    <row r="328" spans="1:11" s="74" customFormat="1">
      <c r="C328" s="135" t="str">
        <f t="shared" ref="C328:G328" si="186">+B281</f>
        <v>S19</v>
      </c>
      <c r="D328" s="135">
        <f t="shared" si="186"/>
        <v>78059</v>
      </c>
      <c r="E328" s="135">
        <f t="shared" si="186"/>
        <v>1.4</v>
      </c>
      <c r="F328" s="135">
        <f t="shared" si="186"/>
        <v>0.2732</v>
      </c>
      <c r="G328" s="135">
        <f t="shared" si="186"/>
        <v>1.5</v>
      </c>
      <c r="H328" s="135">
        <f t="shared" si="182"/>
        <v>8.1959999999999997</v>
      </c>
      <c r="I328" s="135">
        <f t="shared" si="183"/>
        <v>22.964913917455487</v>
      </c>
      <c r="J328" s="135">
        <f t="shared" si="184"/>
        <v>114.05898212831437</v>
      </c>
      <c r="K328" s="135" t="str">
        <f t="shared" si="165"/>
        <v>OK</v>
      </c>
    </row>
    <row r="329" spans="1:11" s="74" customFormat="1">
      <c r="C329" s="135" t="str">
        <f t="shared" ref="C329:G329" si="187">+B282</f>
        <v>S20</v>
      </c>
      <c r="D329" s="135">
        <f t="shared" si="187"/>
        <v>78059</v>
      </c>
      <c r="E329" s="135">
        <f t="shared" si="187"/>
        <v>7.1</v>
      </c>
      <c r="F329" s="135">
        <f t="shared" si="187"/>
        <v>0.2732</v>
      </c>
      <c r="G329" s="135">
        <f t="shared" si="187"/>
        <v>1.5</v>
      </c>
      <c r="H329" s="135">
        <f t="shared" si="182"/>
        <v>8.1959999999999997</v>
      </c>
      <c r="I329" s="135">
        <f t="shared" si="183"/>
        <v>22.964913917455487</v>
      </c>
      <c r="J329" s="135">
        <f t="shared" si="184"/>
        <v>114.05898212831437</v>
      </c>
      <c r="K329" s="135" t="str">
        <f t="shared" si="165"/>
        <v>OK</v>
      </c>
    </row>
    <row r="330" spans="1:11" s="74" customFormat="1" ht="11.25"/>
    <row r="331" spans="1:11">
      <c r="A331" s="64" t="s">
        <v>74</v>
      </c>
      <c r="B331" s="65"/>
      <c r="C331" s="65"/>
      <c r="D331" s="65"/>
      <c r="E331" s="65"/>
      <c r="F331" s="65"/>
      <c r="G331" s="65"/>
    </row>
    <row r="332" spans="1:11">
      <c r="A332" s="65"/>
      <c r="B332" s="65"/>
      <c r="C332" s="65"/>
      <c r="D332" s="65"/>
      <c r="E332" s="65"/>
      <c r="F332" s="65"/>
      <c r="G332" s="65"/>
    </row>
    <row r="333" spans="1:11">
      <c r="A333" s="65" t="s">
        <v>109</v>
      </c>
      <c r="B333" s="65"/>
      <c r="C333" s="65"/>
      <c r="D333" s="65"/>
      <c r="E333" s="65"/>
      <c r="F333" s="65"/>
      <c r="G333" s="65"/>
    </row>
    <row r="334" spans="1:11">
      <c r="A334" s="65"/>
      <c r="B334" s="65"/>
      <c r="C334" s="65"/>
      <c r="D334" s="65"/>
      <c r="E334" s="65"/>
      <c r="F334" s="65"/>
      <c r="G334" s="65"/>
    </row>
    <row r="335" spans="1:11">
      <c r="A335" s="1"/>
      <c r="B335" s="65"/>
      <c r="C335" s="65"/>
      <c r="D335" s="65"/>
      <c r="E335" s="65"/>
      <c r="F335" s="65"/>
      <c r="G335" s="65"/>
    </row>
    <row r="336" spans="1:11">
      <c r="A336" s="65"/>
      <c r="B336" s="65"/>
      <c r="C336" s="65"/>
      <c r="D336" s="65"/>
      <c r="E336" s="65"/>
      <c r="F336" s="65"/>
      <c r="G336" s="65"/>
    </row>
    <row r="337" spans="1:22">
      <c r="A337" s="65"/>
      <c r="B337" s="65"/>
      <c r="C337" s="65"/>
      <c r="D337" s="65"/>
      <c r="E337" s="65"/>
      <c r="F337" s="65"/>
      <c r="G337" s="65"/>
    </row>
    <row r="338" spans="1:22">
      <c r="A338" s="65" t="s">
        <v>2</v>
      </c>
      <c r="B338" s="65"/>
      <c r="C338" s="65"/>
      <c r="D338" s="65"/>
      <c r="E338" s="65"/>
      <c r="F338" s="65"/>
      <c r="G338" s="65"/>
    </row>
    <row r="339" spans="1:22" ht="13.5">
      <c r="A339" s="65"/>
      <c r="B339" s="66" t="s">
        <v>110</v>
      </c>
      <c r="C339" s="67" t="s">
        <v>75</v>
      </c>
      <c r="D339" s="67"/>
      <c r="E339" s="65"/>
      <c r="F339" s="65"/>
      <c r="G339" s="65"/>
    </row>
    <row r="340" spans="1:22">
      <c r="A340" s="65"/>
      <c r="B340" s="66" t="s">
        <v>26</v>
      </c>
      <c r="C340" s="67" t="s">
        <v>76</v>
      </c>
      <c r="D340" s="65"/>
      <c r="E340" s="65"/>
      <c r="F340" s="65"/>
      <c r="G340" s="65"/>
    </row>
    <row r="341" spans="1:22" ht="13.5">
      <c r="A341" s="65"/>
      <c r="B341" s="66" t="s">
        <v>77</v>
      </c>
      <c r="C341" s="65" t="s">
        <v>111</v>
      </c>
      <c r="D341" s="65"/>
      <c r="E341" s="65"/>
      <c r="F341" s="65"/>
      <c r="G341" s="65"/>
    </row>
    <row r="342" spans="1:22">
      <c r="A342" s="65"/>
      <c r="B342" s="65"/>
      <c r="C342" s="65"/>
      <c r="D342" s="65"/>
      <c r="E342" s="65"/>
      <c r="F342" s="65"/>
      <c r="G342" s="65"/>
    </row>
    <row r="343" spans="1:22" ht="14.25">
      <c r="A343" s="65" t="s">
        <v>112</v>
      </c>
      <c r="B343" s="65"/>
      <c r="C343" s="65"/>
      <c r="D343" s="65"/>
      <c r="E343" s="65"/>
      <c r="F343" s="65"/>
      <c r="G343" s="65"/>
    </row>
    <row r="344" spans="1:22">
      <c r="B344" s="65"/>
      <c r="C344" s="65"/>
      <c r="D344" s="65"/>
      <c r="E344" s="65"/>
      <c r="F344" s="65"/>
      <c r="G344" s="65"/>
      <c r="H344" s="65"/>
    </row>
    <row r="345" spans="1:22" ht="25.5">
      <c r="D345" s="149" t="str">
        <f>B41</f>
        <v>Pozo de</v>
      </c>
      <c r="E345" s="149" t="str">
        <f>C41</f>
        <v>Pozo a</v>
      </c>
      <c r="F345" s="163" t="str">
        <f>E41</f>
        <v>Diám Nominal (in)</v>
      </c>
      <c r="G345" s="163" t="s">
        <v>208</v>
      </c>
      <c r="H345" s="149" t="s">
        <v>212</v>
      </c>
      <c r="I345" s="150" t="s">
        <v>232</v>
      </c>
      <c r="J345" s="150" t="s">
        <v>233</v>
      </c>
      <c r="O345" s="160"/>
      <c r="P345" s="160"/>
      <c r="Q345" s="160"/>
      <c r="R345" s="160"/>
      <c r="S345" s="160"/>
      <c r="T345" s="160"/>
      <c r="U345" s="160"/>
      <c r="V345" s="160"/>
    </row>
    <row r="346" spans="1:22" s="74" customFormat="1">
      <c r="D346" s="151">
        <f t="shared" ref="D346:E362" si="188">+C292</f>
        <v>131946</v>
      </c>
      <c r="E346" s="151" t="str">
        <f t="shared" si="188"/>
        <v>131946A</v>
      </c>
      <c r="F346" s="151">
        <f t="shared" ref="F346:F362" si="189">+E42</f>
        <v>8</v>
      </c>
      <c r="G346" s="152">
        <f t="shared" ref="G346:G383" si="190">+F292</f>
        <v>0.2732</v>
      </c>
      <c r="H346" s="152">
        <f t="shared" ref="H346:H383" si="191">+I292+H292</f>
        <v>29.110995271354621</v>
      </c>
      <c r="I346" s="152">
        <f>2*H346/(PI()*G346)</f>
        <v>67.835414286396471</v>
      </c>
      <c r="J346" s="152" t="str">
        <f t="shared" ref="J346:J362" si="192">IF(I346&lt;67500,"OK","Falta")</f>
        <v>OK</v>
      </c>
    </row>
    <row r="347" spans="1:22" s="74" customFormat="1">
      <c r="D347" s="151" t="str">
        <f t="shared" si="188"/>
        <v>131946A</v>
      </c>
      <c r="E347" s="151">
        <f t="shared" si="188"/>
        <v>131916</v>
      </c>
      <c r="F347" s="151">
        <f t="shared" si="189"/>
        <v>8</v>
      </c>
      <c r="G347" s="152">
        <f t="shared" si="190"/>
        <v>0.2732</v>
      </c>
      <c r="H347" s="152">
        <f t="shared" si="191"/>
        <v>29.143915952237599</v>
      </c>
      <c r="I347" s="152">
        <f t="shared" ref="I347:I362" si="193">2*H347/(PI()*G347)</f>
        <v>67.912127157442981</v>
      </c>
      <c r="J347" s="152" t="str">
        <f t="shared" si="192"/>
        <v>OK</v>
      </c>
    </row>
    <row r="348" spans="1:22" s="74" customFormat="1">
      <c r="D348" s="151">
        <f t="shared" si="188"/>
        <v>80268</v>
      </c>
      <c r="E348" s="151">
        <f t="shared" si="188"/>
        <v>131796</v>
      </c>
      <c r="F348" s="151">
        <f t="shared" si="189"/>
        <v>8</v>
      </c>
      <c r="G348" s="152">
        <f t="shared" si="190"/>
        <v>0.2732</v>
      </c>
      <c r="H348" s="152">
        <f t="shared" si="191"/>
        <v>29.454533964592514</v>
      </c>
      <c r="I348" s="152">
        <f t="shared" si="193"/>
        <v>68.635939632987117</v>
      </c>
      <c r="J348" s="152" t="str">
        <f t="shared" si="192"/>
        <v>OK</v>
      </c>
    </row>
    <row r="349" spans="1:22" s="74" customFormat="1">
      <c r="D349" s="151">
        <f t="shared" si="188"/>
        <v>131796</v>
      </c>
      <c r="E349" s="151">
        <f t="shared" si="188"/>
        <v>131732</v>
      </c>
      <c r="F349" s="151">
        <f t="shared" si="189"/>
        <v>8</v>
      </c>
      <c r="G349" s="152">
        <f t="shared" si="190"/>
        <v>0.2732</v>
      </c>
      <c r="H349" s="152">
        <f t="shared" si="191"/>
        <v>29.809026017647312</v>
      </c>
      <c r="I349" s="152">
        <f t="shared" si="193"/>
        <v>69.46198886476553</v>
      </c>
      <c r="J349" s="152" t="str">
        <f t="shared" si="192"/>
        <v>OK</v>
      </c>
    </row>
    <row r="350" spans="1:22" s="74" customFormat="1">
      <c r="D350" s="151" t="str">
        <f t="shared" si="188"/>
        <v>78819A</v>
      </c>
      <c r="E350" s="151" t="str">
        <f t="shared" si="188"/>
        <v>131750A</v>
      </c>
      <c r="F350" s="151">
        <f t="shared" si="189"/>
        <v>10</v>
      </c>
      <c r="G350" s="152">
        <f t="shared" si="190"/>
        <v>0.32400000000000001</v>
      </c>
      <c r="H350" s="152">
        <f t="shared" si="191"/>
        <v>32.339185472904198</v>
      </c>
      <c r="I350" s="152">
        <f t="shared" si="193"/>
        <v>63.542484241707612</v>
      </c>
      <c r="J350" s="152" t="str">
        <f t="shared" si="192"/>
        <v>OK</v>
      </c>
    </row>
    <row r="351" spans="1:22" s="74" customFormat="1">
      <c r="D351" s="151" t="str">
        <f t="shared" si="188"/>
        <v>131750A</v>
      </c>
      <c r="E351" s="151">
        <f t="shared" si="188"/>
        <v>131732</v>
      </c>
      <c r="F351" s="151">
        <f t="shared" si="189"/>
        <v>10</v>
      </c>
      <c r="G351" s="152">
        <f t="shared" si="190"/>
        <v>0.32400000000000001</v>
      </c>
      <c r="H351" s="152">
        <f t="shared" si="191"/>
        <v>31.514834534846909</v>
      </c>
      <c r="I351" s="152">
        <f t="shared" si="193"/>
        <v>61.922736999309357</v>
      </c>
      <c r="J351" s="152" t="str">
        <f t="shared" si="192"/>
        <v>OK</v>
      </c>
    </row>
    <row r="352" spans="1:22" s="74" customFormat="1">
      <c r="D352" s="151" t="str">
        <f t="shared" si="188"/>
        <v>131732A</v>
      </c>
      <c r="E352" s="151">
        <f t="shared" si="188"/>
        <v>131732</v>
      </c>
      <c r="F352" s="151">
        <f t="shared" si="189"/>
        <v>8</v>
      </c>
      <c r="G352" s="152">
        <f t="shared" si="190"/>
        <v>0.2732</v>
      </c>
      <c r="H352" s="152">
        <f t="shared" si="191"/>
        <v>28.93026359093701</v>
      </c>
      <c r="I352" s="152">
        <f t="shared" si="193"/>
        <v>67.414267283295928</v>
      </c>
      <c r="J352" s="152" t="str">
        <f t="shared" si="192"/>
        <v>OK</v>
      </c>
    </row>
    <row r="353" spans="4:10" s="74" customFormat="1">
      <c r="D353" s="151">
        <f t="shared" si="188"/>
        <v>80265</v>
      </c>
      <c r="E353" s="151" t="str">
        <f t="shared" si="188"/>
        <v>80265A</v>
      </c>
      <c r="F353" s="151">
        <f t="shared" si="189"/>
        <v>8</v>
      </c>
      <c r="G353" s="152">
        <f t="shared" si="190"/>
        <v>0.2732</v>
      </c>
      <c r="H353" s="152">
        <f t="shared" si="191"/>
        <v>28.93262861695564</v>
      </c>
      <c r="I353" s="152">
        <f t="shared" si="193"/>
        <v>67.419778345981229</v>
      </c>
      <c r="J353" s="152" t="str">
        <f t="shared" si="192"/>
        <v>OK</v>
      </c>
    </row>
    <row r="354" spans="4:10" s="74" customFormat="1">
      <c r="D354" s="151" t="str">
        <f t="shared" si="188"/>
        <v>80265A</v>
      </c>
      <c r="E354" s="151" t="str">
        <f t="shared" si="188"/>
        <v>131732B</v>
      </c>
      <c r="F354" s="151">
        <f t="shared" si="189"/>
        <v>8</v>
      </c>
      <c r="G354" s="152">
        <f t="shared" si="190"/>
        <v>0.2732</v>
      </c>
      <c r="H354" s="152">
        <f t="shared" si="191"/>
        <v>28.948641874036952</v>
      </c>
      <c r="I354" s="152">
        <f t="shared" si="193"/>
        <v>67.457092972913756</v>
      </c>
      <c r="J354" s="152" t="str">
        <f t="shared" si="192"/>
        <v>OK</v>
      </c>
    </row>
    <row r="355" spans="4:10" s="74" customFormat="1">
      <c r="D355" s="151" t="str">
        <f t="shared" si="188"/>
        <v>PZ-V1</v>
      </c>
      <c r="E355" s="151" t="str">
        <f t="shared" si="188"/>
        <v>80265A</v>
      </c>
      <c r="F355" s="151">
        <f t="shared" si="189"/>
        <v>8</v>
      </c>
      <c r="G355" s="152">
        <f t="shared" si="190"/>
        <v>0.2732</v>
      </c>
      <c r="H355" s="152">
        <f t="shared" si="191"/>
        <v>31.413280724167478</v>
      </c>
      <c r="I355" s="152">
        <f t="shared" si="193"/>
        <v>73.200276807973765</v>
      </c>
      <c r="J355" s="152" t="str">
        <f t="shared" si="192"/>
        <v>OK</v>
      </c>
    </row>
    <row r="356" spans="4:10" s="74" customFormat="1">
      <c r="D356" s="151" t="str">
        <f t="shared" si="188"/>
        <v>PZ-V2</v>
      </c>
      <c r="E356" s="151" t="str">
        <f t="shared" si="188"/>
        <v>131732B</v>
      </c>
      <c r="F356" s="151">
        <f t="shared" si="189"/>
        <v>8</v>
      </c>
      <c r="G356" s="152">
        <f t="shared" si="190"/>
        <v>0.2732</v>
      </c>
      <c r="H356" s="152">
        <f t="shared" si="191"/>
        <v>29.964568173268809</v>
      </c>
      <c r="I356" s="152">
        <f t="shared" si="193"/>
        <v>69.824438395165672</v>
      </c>
      <c r="J356" s="152" t="str">
        <f t="shared" si="192"/>
        <v>OK</v>
      </c>
    </row>
    <row r="357" spans="4:10" s="74" customFormat="1">
      <c r="D357" s="151" t="str">
        <f t="shared" si="188"/>
        <v>PA-01</v>
      </c>
      <c r="E357" s="151" t="str">
        <f t="shared" si="188"/>
        <v>PA-02</v>
      </c>
      <c r="F357" s="151">
        <f t="shared" si="189"/>
        <v>12</v>
      </c>
      <c r="G357" s="152">
        <f t="shared" si="190"/>
        <v>0.32400000000000001</v>
      </c>
      <c r="H357" s="152">
        <f t="shared" si="191"/>
        <v>34.220095529295094</v>
      </c>
      <c r="I357" s="152">
        <f t="shared" si="193"/>
        <v>67.23823896992819</v>
      </c>
      <c r="J357" s="152" t="str">
        <f t="shared" si="192"/>
        <v>OK</v>
      </c>
    </row>
    <row r="358" spans="4:10" s="74" customFormat="1">
      <c r="D358" s="151" t="str">
        <f t="shared" si="188"/>
        <v>PA-02</v>
      </c>
      <c r="E358" s="151">
        <f t="shared" si="188"/>
        <v>78059</v>
      </c>
      <c r="F358" s="151">
        <f t="shared" si="189"/>
        <v>12</v>
      </c>
      <c r="G358" s="152">
        <f t="shared" si="190"/>
        <v>0.32400000000000001</v>
      </c>
      <c r="H358" s="152">
        <f t="shared" si="191"/>
        <v>33.80074692795759</v>
      </c>
      <c r="I358" s="152">
        <f t="shared" si="193"/>
        <v>66.414271034353661</v>
      </c>
      <c r="J358" s="152" t="str">
        <f t="shared" si="192"/>
        <v>OK</v>
      </c>
    </row>
    <row r="359" spans="4:10" s="74" customFormat="1">
      <c r="D359" s="151" t="str">
        <f t="shared" si="188"/>
        <v>PA-03</v>
      </c>
      <c r="E359" s="151">
        <f t="shared" si="188"/>
        <v>78315</v>
      </c>
      <c r="F359" s="151">
        <f t="shared" si="189"/>
        <v>12</v>
      </c>
      <c r="G359" s="152">
        <f t="shared" si="190"/>
        <v>0.32400000000000001</v>
      </c>
      <c r="H359" s="152">
        <f t="shared" si="191"/>
        <v>34.220095529295094</v>
      </c>
      <c r="I359" s="152">
        <f t="shared" si="193"/>
        <v>67.23823896992819</v>
      </c>
      <c r="J359" s="152" t="str">
        <f t="shared" si="192"/>
        <v>OK</v>
      </c>
    </row>
    <row r="360" spans="4:10" s="74" customFormat="1">
      <c r="D360" s="151" t="str">
        <f t="shared" si="188"/>
        <v>PA-04</v>
      </c>
      <c r="E360" s="151">
        <f t="shared" si="188"/>
        <v>78059</v>
      </c>
      <c r="F360" s="151">
        <f t="shared" si="189"/>
        <v>12</v>
      </c>
      <c r="G360" s="152">
        <f t="shared" si="190"/>
        <v>0.32400000000000001</v>
      </c>
      <c r="H360" s="152">
        <f t="shared" si="191"/>
        <v>31.401438154347687</v>
      </c>
      <c r="I360" s="152">
        <f t="shared" si="193"/>
        <v>61.699927190850339</v>
      </c>
      <c r="J360" s="152" t="str">
        <f t="shared" si="192"/>
        <v>OK</v>
      </c>
    </row>
    <row r="361" spans="4:10" s="74" customFormat="1">
      <c r="D361" s="151" t="str">
        <f t="shared" si="188"/>
        <v>PA-05</v>
      </c>
      <c r="E361" s="151">
        <f t="shared" si="188"/>
        <v>78819</v>
      </c>
      <c r="F361" s="151">
        <f t="shared" si="189"/>
        <v>12</v>
      </c>
      <c r="G361" s="152">
        <f t="shared" si="190"/>
        <v>0.32400000000000001</v>
      </c>
      <c r="H361" s="152">
        <f t="shared" si="191"/>
        <v>33.881254438252157</v>
      </c>
      <c r="I361" s="152">
        <f t="shared" si="193"/>
        <v>66.572458296321585</v>
      </c>
      <c r="J361" s="152" t="str">
        <f t="shared" si="192"/>
        <v>OK</v>
      </c>
    </row>
    <row r="362" spans="4:10" s="74" customFormat="1">
      <c r="D362" s="151" t="str">
        <f t="shared" si="188"/>
        <v>PA-06</v>
      </c>
      <c r="E362" s="151">
        <f t="shared" si="188"/>
        <v>78812</v>
      </c>
      <c r="F362" s="151">
        <f t="shared" si="189"/>
        <v>12</v>
      </c>
      <c r="G362" s="152">
        <f t="shared" si="190"/>
        <v>0.32400000000000001</v>
      </c>
      <c r="H362" s="152">
        <f t="shared" si="191"/>
        <v>33.422047027575971</v>
      </c>
      <c r="I362" s="152">
        <f t="shared" si="193"/>
        <v>65.670172749240791</v>
      </c>
      <c r="J362" s="152" t="str">
        <f t="shared" si="192"/>
        <v>OK</v>
      </c>
    </row>
    <row r="363" spans="4:10" s="74" customFormat="1">
      <c r="D363" s="316" t="str">
        <f t="shared" ref="D363" si="194">+C309</f>
        <v>SUMIDEROS</v>
      </c>
      <c r="E363" s="316"/>
      <c r="F363" s="316"/>
      <c r="G363" s="316"/>
      <c r="H363" s="316"/>
      <c r="I363" s="316"/>
      <c r="J363" s="316"/>
    </row>
    <row r="364" spans="4:10" s="74" customFormat="1">
      <c r="D364" s="151" t="str">
        <f t="shared" ref="D364:E364" si="195">+C310</f>
        <v>S1</v>
      </c>
      <c r="E364" s="151">
        <f t="shared" si="195"/>
        <v>79804</v>
      </c>
      <c r="F364" s="151">
        <f t="shared" ref="F364:F383" si="196">+E60</f>
        <v>10</v>
      </c>
      <c r="G364" s="152">
        <f t="shared" si="190"/>
        <v>0.2732</v>
      </c>
      <c r="H364" s="152">
        <f t="shared" si="191"/>
        <v>34.750419579138331</v>
      </c>
      <c r="I364" s="152">
        <f t="shared" ref="I364:I382" si="197">2*H364/(PI()*G364)</f>
        <v>80.976589319725434</v>
      </c>
      <c r="J364" s="152" t="str">
        <f t="shared" ref="J364:J382" si="198">IF(I364&lt;67500,"OK","Falta")</f>
        <v>OK</v>
      </c>
    </row>
    <row r="365" spans="4:10" s="74" customFormat="1">
      <c r="D365" s="151" t="str">
        <f t="shared" ref="D365:E365" si="199">+C311</f>
        <v>S2</v>
      </c>
      <c r="E365" s="151">
        <f t="shared" si="199"/>
        <v>79804</v>
      </c>
      <c r="F365" s="151">
        <f t="shared" si="196"/>
        <v>10</v>
      </c>
      <c r="G365" s="152">
        <f t="shared" si="190"/>
        <v>0.2732</v>
      </c>
      <c r="H365" s="152">
        <f t="shared" si="191"/>
        <v>34.750419579138331</v>
      </c>
      <c r="I365" s="152">
        <f t="shared" si="197"/>
        <v>80.976589319725434</v>
      </c>
      <c r="J365" s="152" t="str">
        <f t="shared" si="198"/>
        <v>OK</v>
      </c>
    </row>
    <row r="366" spans="4:10" s="74" customFormat="1">
      <c r="D366" s="151" t="str">
        <f t="shared" ref="D366:E366" si="200">+C312</f>
        <v>S3</v>
      </c>
      <c r="E366" s="151" t="str">
        <f t="shared" si="200"/>
        <v>PA-03</v>
      </c>
      <c r="F366" s="151">
        <f t="shared" si="196"/>
        <v>10</v>
      </c>
      <c r="G366" s="152">
        <f t="shared" si="190"/>
        <v>0.2732</v>
      </c>
      <c r="H366" s="152">
        <f t="shared" si="191"/>
        <v>33.389980353256561</v>
      </c>
      <c r="I366" s="152">
        <f t="shared" si="197"/>
        <v>77.806448359620077</v>
      </c>
      <c r="J366" s="152" t="str">
        <f t="shared" si="198"/>
        <v>OK</v>
      </c>
    </row>
    <row r="367" spans="4:10" s="74" customFormat="1">
      <c r="D367" s="151" t="str">
        <f t="shared" ref="D367:E367" si="201">+C313</f>
        <v>S4</v>
      </c>
      <c r="E367" s="151" t="str">
        <f t="shared" si="201"/>
        <v>PA-03</v>
      </c>
      <c r="F367" s="151">
        <f t="shared" si="196"/>
        <v>10</v>
      </c>
      <c r="G367" s="152">
        <f t="shared" si="190"/>
        <v>0.2732</v>
      </c>
      <c r="H367" s="152">
        <f t="shared" si="191"/>
        <v>33.703098432375917</v>
      </c>
      <c r="I367" s="152">
        <f t="shared" si="197"/>
        <v>78.536086574309465</v>
      </c>
      <c r="J367" s="152" t="str">
        <f t="shared" si="198"/>
        <v>OK</v>
      </c>
    </row>
    <row r="368" spans="4:10" s="74" customFormat="1">
      <c r="D368" s="151" t="str">
        <f t="shared" ref="D368:E368" si="202">+C314</f>
        <v>S5</v>
      </c>
      <c r="E368" s="151">
        <f t="shared" si="202"/>
        <v>78315</v>
      </c>
      <c r="F368" s="151">
        <f t="shared" si="196"/>
        <v>10</v>
      </c>
      <c r="G368" s="152">
        <f t="shared" si="190"/>
        <v>0.2732</v>
      </c>
      <c r="H368" s="152">
        <f t="shared" si="191"/>
        <v>31.829193933944374</v>
      </c>
      <c r="I368" s="152">
        <f t="shared" si="197"/>
        <v>74.169451672296006</v>
      </c>
      <c r="J368" s="152" t="str">
        <f t="shared" si="198"/>
        <v>OK</v>
      </c>
    </row>
    <row r="369" spans="4:10" s="74" customFormat="1">
      <c r="D369" s="151" t="str">
        <f t="shared" ref="D369:E369" si="203">+C315</f>
        <v>S6</v>
      </c>
      <c r="E369" s="151">
        <f t="shared" si="203"/>
        <v>78315</v>
      </c>
      <c r="F369" s="151">
        <f t="shared" si="196"/>
        <v>10</v>
      </c>
      <c r="G369" s="152">
        <f t="shared" si="190"/>
        <v>0.2732</v>
      </c>
      <c r="H369" s="152">
        <f t="shared" si="191"/>
        <v>31.829193933944374</v>
      </c>
      <c r="I369" s="152">
        <f t="shared" si="197"/>
        <v>74.169451672296006</v>
      </c>
      <c r="J369" s="152" t="str">
        <f t="shared" si="198"/>
        <v>OK</v>
      </c>
    </row>
    <row r="370" spans="4:10" s="74" customFormat="1">
      <c r="D370" s="151" t="str">
        <f t="shared" ref="D370:E370" si="204">+C316</f>
        <v>S7</v>
      </c>
      <c r="E370" s="151" t="str">
        <f t="shared" si="204"/>
        <v>PA-01</v>
      </c>
      <c r="F370" s="151">
        <f t="shared" si="196"/>
        <v>10</v>
      </c>
      <c r="G370" s="152">
        <f t="shared" si="190"/>
        <v>0.2732</v>
      </c>
      <c r="H370" s="152">
        <f t="shared" si="191"/>
        <v>34.750419579138331</v>
      </c>
      <c r="I370" s="152">
        <f t="shared" si="197"/>
        <v>80.976589319725434</v>
      </c>
      <c r="J370" s="152" t="str">
        <f t="shared" si="198"/>
        <v>OK</v>
      </c>
    </row>
    <row r="371" spans="4:10" s="74" customFormat="1">
      <c r="D371" s="151" t="str">
        <f t="shared" ref="D371:E371" si="205">+C317</f>
        <v>S8</v>
      </c>
      <c r="E371" s="151" t="str">
        <f t="shared" si="205"/>
        <v>PA-01</v>
      </c>
      <c r="F371" s="151">
        <f t="shared" si="196"/>
        <v>10</v>
      </c>
      <c r="G371" s="152">
        <f t="shared" si="190"/>
        <v>0.2732</v>
      </c>
      <c r="H371" s="152">
        <f t="shared" si="191"/>
        <v>34.750419579138331</v>
      </c>
      <c r="I371" s="152">
        <f t="shared" si="197"/>
        <v>80.976589319725434</v>
      </c>
      <c r="J371" s="152" t="str">
        <f t="shared" si="198"/>
        <v>OK</v>
      </c>
    </row>
    <row r="372" spans="4:10" s="74" customFormat="1">
      <c r="D372" s="151" t="str">
        <f t="shared" ref="D372:E372" si="206">+C318</f>
        <v>S9</v>
      </c>
      <c r="E372" s="151" t="str">
        <f t="shared" si="206"/>
        <v>PA-02</v>
      </c>
      <c r="F372" s="151">
        <f t="shared" si="196"/>
        <v>10</v>
      </c>
      <c r="G372" s="152">
        <f t="shared" si="190"/>
        <v>0.2732</v>
      </c>
      <c r="H372" s="152">
        <f t="shared" si="191"/>
        <v>33.596844616073611</v>
      </c>
      <c r="I372" s="152">
        <f t="shared" si="197"/>
        <v>78.28849037977227</v>
      </c>
      <c r="J372" s="152" t="str">
        <f t="shared" si="198"/>
        <v>OK</v>
      </c>
    </row>
    <row r="373" spans="4:10" s="74" customFormat="1">
      <c r="D373" s="151" t="str">
        <f t="shared" ref="D373:E373" si="207">+C319</f>
        <v>S10</v>
      </c>
      <c r="E373" s="151" t="str">
        <f t="shared" si="207"/>
        <v>PA-02</v>
      </c>
      <c r="F373" s="151">
        <f t="shared" si="196"/>
        <v>10</v>
      </c>
      <c r="G373" s="152">
        <f t="shared" si="190"/>
        <v>0.2732</v>
      </c>
      <c r="H373" s="152">
        <f t="shared" si="191"/>
        <v>34.750419579138331</v>
      </c>
      <c r="I373" s="152">
        <f t="shared" si="197"/>
        <v>80.976589319725434</v>
      </c>
      <c r="J373" s="152" t="str">
        <f t="shared" si="198"/>
        <v>OK</v>
      </c>
    </row>
    <row r="374" spans="4:10" s="74" customFormat="1">
      <c r="D374" s="151" t="str">
        <f t="shared" ref="D374:E374" si="208">+C320</f>
        <v>S11</v>
      </c>
      <c r="E374" s="151">
        <f t="shared" si="208"/>
        <v>78059</v>
      </c>
      <c r="F374" s="151">
        <f t="shared" si="196"/>
        <v>10</v>
      </c>
      <c r="G374" s="152">
        <f t="shared" si="190"/>
        <v>0.2732</v>
      </c>
      <c r="H374" s="152">
        <f t="shared" si="191"/>
        <v>35.690958433715693</v>
      </c>
      <c r="I374" s="152">
        <f t="shared" si="197"/>
        <v>83.168264398436648</v>
      </c>
      <c r="J374" s="152" t="str">
        <f t="shared" si="198"/>
        <v>OK</v>
      </c>
    </row>
    <row r="375" spans="4:10" s="74" customFormat="1">
      <c r="D375" s="151" t="str">
        <f t="shared" ref="D375:E375" si="209">+C321</f>
        <v>S12</v>
      </c>
      <c r="E375" s="151">
        <f t="shared" si="209"/>
        <v>78059</v>
      </c>
      <c r="F375" s="151">
        <f t="shared" si="196"/>
        <v>10</v>
      </c>
      <c r="G375" s="152">
        <f t="shared" si="190"/>
        <v>0.2732</v>
      </c>
      <c r="H375" s="152">
        <f t="shared" si="191"/>
        <v>35.409965038064591</v>
      </c>
      <c r="I375" s="152">
        <f t="shared" si="197"/>
        <v>82.513484195009866</v>
      </c>
      <c r="J375" s="152" t="str">
        <f t="shared" si="198"/>
        <v>OK</v>
      </c>
    </row>
    <row r="376" spans="4:10" s="74" customFormat="1">
      <c r="D376" s="151" t="str">
        <f t="shared" ref="D376:E376" si="210">+C322</f>
        <v>S13</v>
      </c>
      <c r="E376" s="151">
        <f t="shared" si="210"/>
        <v>79319</v>
      </c>
      <c r="F376" s="151">
        <f t="shared" si="196"/>
        <v>10</v>
      </c>
      <c r="G376" s="152">
        <f t="shared" si="190"/>
        <v>0.2732</v>
      </c>
      <c r="H376" s="152">
        <f t="shared" si="191"/>
        <v>33.596844616073611</v>
      </c>
      <c r="I376" s="152">
        <f t="shared" si="197"/>
        <v>78.28849037977227</v>
      </c>
      <c r="J376" s="152" t="str">
        <f t="shared" si="198"/>
        <v>OK</v>
      </c>
    </row>
    <row r="377" spans="4:10" s="74" customFormat="1">
      <c r="D377" s="151" t="str">
        <f t="shared" ref="D377:E377" si="211">+C323</f>
        <v>S14</v>
      </c>
      <c r="E377" s="151">
        <f t="shared" si="211"/>
        <v>79319</v>
      </c>
      <c r="F377" s="151">
        <f t="shared" si="196"/>
        <v>10</v>
      </c>
      <c r="G377" s="152">
        <f t="shared" si="190"/>
        <v>0.2732</v>
      </c>
      <c r="H377" s="152">
        <f t="shared" si="191"/>
        <v>33.596844616073611</v>
      </c>
      <c r="I377" s="152">
        <f t="shared" si="197"/>
        <v>78.28849037977227</v>
      </c>
      <c r="J377" s="152" t="str">
        <f t="shared" si="198"/>
        <v>OK</v>
      </c>
    </row>
    <row r="378" spans="4:10" s="74" customFormat="1">
      <c r="D378" s="151" t="str">
        <f t="shared" ref="D378:E378" si="212">+C324</f>
        <v>S15</v>
      </c>
      <c r="E378" s="151">
        <f t="shared" si="212"/>
        <v>78819</v>
      </c>
      <c r="F378" s="151">
        <f t="shared" si="196"/>
        <v>10</v>
      </c>
      <c r="G378" s="152">
        <f t="shared" si="190"/>
        <v>0.2732</v>
      </c>
      <c r="H378" s="152">
        <f t="shared" si="191"/>
        <v>34.877607744547774</v>
      </c>
      <c r="I378" s="152">
        <f t="shared" si="197"/>
        <v>81.272967434333083</v>
      </c>
      <c r="J378" s="152" t="str">
        <f t="shared" si="198"/>
        <v>OK</v>
      </c>
    </row>
    <row r="379" spans="4:10" s="74" customFormat="1">
      <c r="D379" s="151" t="str">
        <f t="shared" ref="D379:E379" si="213">+C325</f>
        <v>S16</v>
      </c>
      <c r="E379" s="151">
        <f t="shared" si="213"/>
        <v>78819</v>
      </c>
      <c r="F379" s="151">
        <f t="shared" si="196"/>
        <v>10</v>
      </c>
      <c r="G379" s="152">
        <f t="shared" si="190"/>
        <v>0.2732</v>
      </c>
      <c r="H379" s="152">
        <f t="shared" si="191"/>
        <v>33.190423189783971</v>
      </c>
      <c r="I379" s="152">
        <f t="shared" si="197"/>
        <v>77.34143358661774</v>
      </c>
      <c r="J379" s="152" t="str">
        <f t="shared" si="198"/>
        <v>OK</v>
      </c>
    </row>
    <row r="380" spans="4:10" s="74" customFormat="1">
      <c r="D380" s="151" t="str">
        <f t="shared" ref="D380:E380" si="214">+C326</f>
        <v>S17</v>
      </c>
      <c r="E380" s="151">
        <f t="shared" si="214"/>
        <v>78819</v>
      </c>
      <c r="F380" s="151">
        <f t="shared" si="196"/>
        <v>10</v>
      </c>
      <c r="G380" s="152">
        <f t="shared" si="190"/>
        <v>0.2732</v>
      </c>
      <c r="H380" s="152">
        <f t="shared" si="191"/>
        <v>34.625503393518557</v>
      </c>
      <c r="I380" s="152">
        <f t="shared" si="197"/>
        <v>80.685505448370066</v>
      </c>
      <c r="J380" s="152" t="str">
        <f t="shared" si="198"/>
        <v>OK</v>
      </c>
    </row>
    <row r="381" spans="4:10" s="74" customFormat="1">
      <c r="D381" s="151" t="str">
        <f t="shared" ref="D381:E381" si="215">+C327</f>
        <v>S18</v>
      </c>
      <c r="E381" s="151">
        <f t="shared" si="215"/>
        <v>78819</v>
      </c>
      <c r="F381" s="151">
        <f t="shared" si="196"/>
        <v>10</v>
      </c>
      <c r="G381" s="152">
        <f t="shared" si="190"/>
        <v>0.2732</v>
      </c>
      <c r="H381" s="152">
        <f t="shared" si="191"/>
        <v>34.625503393518557</v>
      </c>
      <c r="I381" s="152">
        <f t="shared" si="197"/>
        <v>80.685505448370066</v>
      </c>
      <c r="J381" s="152" t="str">
        <f t="shared" si="198"/>
        <v>OK</v>
      </c>
    </row>
    <row r="382" spans="4:10" s="74" customFormat="1">
      <c r="D382" s="151" t="str">
        <f t="shared" ref="D382:E383" si="216">+C328</f>
        <v>S19</v>
      </c>
      <c r="E382" s="151">
        <f t="shared" si="216"/>
        <v>78059</v>
      </c>
      <c r="F382" s="151">
        <f t="shared" si="196"/>
        <v>10</v>
      </c>
      <c r="G382" s="152">
        <f t="shared" si="190"/>
        <v>0.2732</v>
      </c>
      <c r="H382" s="152">
        <f t="shared" si="191"/>
        <v>31.160913917455488</v>
      </c>
      <c r="I382" s="152">
        <f t="shared" si="197"/>
        <v>72.612203239005538</v>
      </c>
      <c r="J382" s="152" t="str">
        <f t="shared" si="198"/>
        <v>OK</v>
      </c>
    </row>
    <row r="383" spans="4:10" s="74" customFormat="1">
      <c r="D383" s="151" t="str">
        <f t="shared" si="216"/>
        <v>S20</v>
      </c>
      <c r="E383" s="151">
        <f t="shared" si="216"/>
        <v>78059</v>
      </c>
      <c r="F383" s="151">
        <f t="shared" si="196"/>
        <v>10</v>
      </c>
      <c r="G383" s="152">
        <f t="shared" si="190"/>
        <v>0.2732</v>
      </c>
      <c r="H383" s="152">
        <f t="shared" si="191"/>
        <v>31.160913917455488</v>
      </c>
      <c r="I383" s="152">
        <f t="shared" ref="I383" si="217">2*H383/(PI()*G383)</f>
        <v>72.612203239005538</v>
      </c>
      <c r="J383" s="152" t="str">
        <f t="shared" ref="J383" si="218">IF(I383&lt;67500,"OK","Falta")</f>
        <v>OK</v>
      </c>
    </row>
    <row r="384" spans="4:10" s="74" customFormat="1">
      <c r="D384" s="218"/>
      <c r="E384" s="218"/>
      <c r="F384" s="218"/>
      <c r="G384" s="219"/>
      <c r="H384" s="219"/>
      <c r="I384" s="219"/>
      <c r="J384" s="219"/>
    </row>
    <row r="385" spans="1:13" s="74" customFormat="1">
      <c r="A385" s="64" t="s">
        <v>240</v>
      </c>
    </row>
    <row r="386" spans="1:13" s="74" customFormat="1">
      <c r="A386" s="65"/>
    </row>
    <row r="387" spans="1:13" s="74" customFormat="1" ht="35.25" customHeight="1">
      <c r="A387" s="292" t="s">
        <v>379</v>
      </c>
      <c r="B387" s="292"/>
      <c r="C387" s="292"/>
      <c r="D387" s="292"/>
      <c r="E387" s="292"/>
      <c r="F387" s="292"/>
      <c r="G387" s="292"/>
      <c r="H387" s="292"/>
      <c r="I387" s="292"/>
      <c r="J387" s="292"/>
      <c r="K387" s="292"/>
      <c r="L387" s="292"/>
      <c r="M387" s="292"/>
    </row>
    <row r="388" spans="1:13" s="74" customFormat="1">
      <c r="A388" s="65"/>
    </row>
    <row r="389" spans="1:13" s="74" customFormat="1" ht="11.25">
      <c r="D389" s="286" t="s">
        <v>128</v>
      </c>
      <c r="E389" s="286" t="s">
        <v>129</v>
      </c>
      <c r="F389" s="286" t="s">
        <v>134</v>
      </c>
      <c r="G389" s="274" t="s">
        <v>191</v>
      </c>
      <c r="H389" s="299" t="s">
        <v>135</v>
      </c>
      <c r="I389" s="286" t="s">
        <v>131</v>
      </c>
    </row>
    <row r="390" spans="1:13" s="74" customFormat="1" ht="11.25">
      <c r="D390" s="287"/>
      <c r="E390" s="287"/>
      <c r="F390" s="287"/>
      <c r="G390" s="275"/>
      <c r="H390" s="300"/>
      <c r="I390" s="287"/>
    </row>
    <row r="391" spans="1:13" s="74" customFormat="1">
      <c r="D391" s="90">
        <f t="shared" ref="D391:D407" si="219">+B102</f>
        <v>131946</v>
      </c>
      <c r="E391" s="90" t="str">
        <f t="shared" ref="E391:E407" si="220">+C102</f>
        <v>131946A</v>
      </c>
      <c r="F391" s="21">
        <f t="shared" ref="F391:F428" si="221">+G102</f>
        <v>2.73</v>
      </c>
      <c r="G391" s="21">
        <f t="shared" ref="G391:G407" si="222">+P42</f>
        <v>3.1032000000000002</v>
      </c>
      <c r="H391" s="153" t="str">
        <f>+IF(G391&gt;0.5,"NO","SI")</f>
        <v>NO</v>
      </c>
      <c r="I391" s="159" t="str">
        <f t="shared" ref="I391:I396" si="223">IF(G391&lt;=1,"NO",IF(G391&lt;=2,"E1A",IF(G391&lt;=3,"E1B",IF(G391&lt;=3,"E1",IF(G391&lt;=$O$422,"E2","Consultar")))))</f>
        <v>E2</v>
      </c>
    </row>
    <row r="392" spans="1:13" s="74" customFormat="1">
      <c r="D392" s="90" t="str">
        <f t="shared" si="219"/>
        <v>131946A</v>
      </c>
      <c r="E392" s="90">
        <f t="shared" si="220"/>
        <v>131916</v>
      </c>
      <c r="F392" s="21">
        <f t="shared" si="221"/>
        <v>2.76</v>
      </c>
      <c r="G392" s="21">
        <f t="shared" si="222"/>
        <v>3.1332</v>
      </c>
      <c r="H392" s="153" t="str">
        <f t="shared" ref="H392:H407" si="224">+IF(G392&gt;0.5,"NO","SI")</f>
        <v>NO</v>
      </c>
      <c r="I392" s="159" t="str">
        <f t="shared" si="223"/>
        <v>E2</v>
      </c>
    </row>
    <row r="393" spans="1:13" s="74" customFormat="1">
      <c r="D393" s="90">
        <f t="shared" si="219"/>
        <v>80268</v>
      </c>
      <c r="E393" s="90">
        <f t="shared" si="220"/>
        <v>131796</v>
      </c>
      <c r="F393" s="21">
        <f t="shared" si="221"/>
        <v>2.98</v>
      </c>
      <c r="G393" s="21">
        <f t="shared" si="222"/>
        <v>3.3532000000000002</v>
      </c>
      <c r="H393" s="153" t="str">
        <f t="shared" si="224"/>
        <v>NO</v>
      </c>
      <c r="I393" s="159" t="str">
        <f t="shared" si="223"/>
        <v>E2</v>
      </c>
    </row>
    <row r="394" spans="1:13" s="74" customFormat="1">
      <c r="D394" s="90">
        <f t="shared" si="219"/>
        <v>131796</v>
      </c>
      <c r="E394" s="90">
        <f t="shared" si="220"/>
        <v>131732</v>
      </c>
      <c r="F394" s="21">
        <f t="shared" si="221"/>
        <v>3.17</v>
      </c>
      <c r="G394" s="21">
        <f t="shared" si="222"/>
        <v>3.5432000000000001</v>
      </c>
      <c r="H394" s="153" t="str">
        <f t="shared" si="224"/>
        <v>NO</v>
      </c>
      <c r="I394" s="159" t="str">
        <f t="shared" si="223"/>
        <v>E2</v>
      </c>
    </row>
    <row r="395" spans="1:13" s="74" customFormat="1">
      <c r="D395" s="90" t="str">
        <f t="shared" si="219"/>
        <v>78819A</v>
      </c>
      <c r="E395" s="90" t="str">
        <f t="shared" si="220"/>
        <v>131750A</v>
      </c>
      <c r="F395" s="21">
        <f t="shared" si="221"/>
        <v>2.98</v>
      </c>
      <c r="G395" s="21">
        <f t="shared" si="222"/>
        <v>3.4039999999999999</v>
      </c>
      <c r="H395" s="153" t="str">
        <f t="shared" si="224"/>
        <v>NO</v>
      </c>
      <c r="I395" s="159" t="str">
        <f t="shared" si="223"/>
        <v>E2</v>
      </c>
    </row>
    <row r="396" spans="1:13" s="74" customFormat="1">
      <c r="D396" s="90" t="str">
        <f t="shared" si="219"/>
        <v>131750A</v>
      </c>
      <c r="E396" s="90">
        <f t="shared" si="220"/>
        <v>131732</v>
      </c>
      <c r="F396" s="21">
        <f t="shared" si="221"/>
        <v>2.63</v>
      </c>
      <c r="G396" s="21">
        <f t="shared" si="222"/>
        <v>3.0539999999999998</v>
      </c>
      <c r="H396" s="153" t="str">
        <f t="shared" si="224"/>
        <v>NO</v>
      </c>
      <c r="I396" s="159" t="str">
        <f t="shared" si="223"/>
        <v>E2</v>
      </c>
    </row>
    <row r="397" spans="1:13" s="74" customFormat="1">
      <c r="D397" s="90" t="str">
        <f t="shared" si="219"/>
        <v>131732A</v>
      </c>
      <c r="E397" s="90">
        <f t="shared" si="220"/>
        <v>131732</v>
      </c>
      <c r="F397" s="21">
        <f t="shared" si="221"/>
        <v>2.37</v>
      </c>
      <c r="G397" s="21">
        <f t="shared" si="222"/>
        <v>2.7432000000000003</v>
      </c>
      <c r="H397" s="153" t="str">
        <f t="shared" si="224"/>
        <v>NO</v>
      </c>
      <c r="I397" s="159" t="s">
        <v>380</v>
      </c>
    </row>
    <row r="398" spans="1:13" s="74" customFormat="1">
      <c r="D398" s="90">
        <f t="shared" si="219"/>
        <v>80265</v>
      </c>
      <c r="E398" s="90" t="str">
        <f t="shared" si="220"/>
        <v>80265A</v>
      </c>
      <c r="F398" s="21">
        <f t="shared" si="221"/>
        <v>2.4500000000000002</v>
      </c>
      <c r="G398" s="21">
        <f t="shared" si="222"/>
        <v>2.8232000000000004</v>
      </c>
      <c r="H398" s="153" t="str">
        <f t="shared" si="224"/>
        <v>NO</v>
      </c>
      <c r="I398" s="248" t="s">
        <v>380</v>
      </c>
    </row>
    <row r="399" spans="1:13" s="74" customFormat="1">
      <c r="D399" s="90" t="str">
        <f t="shared" si="219"/>
        <v>80265A</v>
      </c>
      <c r="E399" s="90" t="str">
        <f t="shared" si="220"/>
        <v>131732B</v>
      </c>
      <c r="F399" s="21">
        <f t="shared" si="221"/>
        <v>2.2999999999999998</v>
      </c>
      <c r="G399" s="21">
        <f t="shared" si="222"/>
        <v>2.6732</v>
      </c>
      <c r="H399" s="153" t="str">
        <f t="shared" si="224"/>
        <v>NO</v>
      </c>
      <c r="I399" s="248" t="s">
        <v>380</v>
      </c>
    </row>
    <row r="400" spans="1:13" s="74" customFormat="1">
      <c r="D400" s="90" t="str">
        <f t="shared" si="219"/>
        <v>PZ-V1</v>
      </c>
      <c r="E400" s="90" t="str">
        <f t="shared" si="220"/>
        <v>80265A</v>
      </c>
      <c r="F400" s="21">
        <f t="shared" si="221"/>
        <v>1.46</v>
      </c>
      <c r="G400" s="21">
        <f t="shared" si="222"/>
        <v>1.8332000000000002</v>
      </c>
      <c r="H400" s="153" t="str">
        <f t="shared" si="224"/>
        <v>NO</v>
      </c>
      <c r="I400" s="248" t="s">
        <v>380</v>
      </c>
    </row>
    <row r="401" spans="4:9" s="74" customFormat="1">
      <c r="D401" s="90" t="str">
        <f t="shared" si="219"/>
        <v>PZ-V2</v>
      </c>
      <c r="E401" s="90" t="str">
        <f t="shared" si="220"/>
        <v>131732B</v>
      </c>
      <c r="F401" s="21">
        <f t="shared" si="221"/>
        <v>1.75</v>
      </c>
      <c r="G401" s="21">
        <f t="shared" si="222"/>
        <v>2.1232000000000002</v>
      </c>
      <c r="H401" s="153" t="str">
        <f t="shared" si="224"/>
        <v>NO</v>
      </c>
      <c r="I401" s="248" t="s">
        <v>380</v>
      </c>
    </row>
    <row r="402" spans="4:9" s="74" customFormat="1">
      <c r="D402" s="90" t="str">
        <f t="shared" si="219"/>
        <v>PA-01</v>
      </c>
      <c r="E402" s="90" t="str">
        <f t="shared" si="220"/>
        <v>PA-02</v>
      </c>
      <c r="F402" s="21">
        <f t="shared" si="221"/>
        <v>1.2</v>
      </c>
      <c r="G402" s="21">
        <f t="shared" si="222"/>
        <v>1.6240000000000001</v>
      </c>
      <c r="H402" s="153" t="str">
        <f t="shared" si="224"/>
        <v>NO</v>
      </c>
      <c r="I402" s="248" t="s">
        <v>380</v>
      </c>
    </row>
    <row r="403" spans="4:9" s="74" customFormat="1">
      <c r="D403" s="90" t="str">
        <f t="shared" si="219"/>
        <v>PA-02</v>
      </c>
      <c r="E403" s="90">
        <f t="shared" si="220"/>
        <v>78059</v>
      </c>
      <c r="F403" s="21">
        <f t="shared" si="221"/>
        <v>1.25</v>
      </c>
      <c r="G403" s="21">
        <f t="shared" si="222"/>
        <v>1.6740000000000002</v>
      </c>
      <c r="H403" s="153" t="str">
        <f t="shared" si="224"/>
        <v>NO</v>
      </c>
      <c r="I403" s="248" t="s">
        <v>380</v>
      </c>
    </row>
    <row r="404" spans="4:9" s="74" customFormat="1">
      <c r="D404" s="90" t="str">
        <f t="shared" si="219"/>
        <v>PA-03</v>
      </c>
      <c r="E404" s="90">
        <f t="shared" si="220"/>
        <v>78315</v>
      </c>
      <c r="F404" s="21">
        <f t="shared" si="221"/>
        <v>1.2</v>
      </c>
      <c r="G404" s="21">
        <f t="shared" si="222"/>
        <v>1.6240000000000001</v>
      </c>
      <c r="H404" s="153" t="str">
        <f t="shared" si="224"/>
        <v>NO</v>
      </c>
      <c r="I404" s="248" t="s">
        <v>380</v>
      </c>
    </row>
    <row r="405" spans="4:9" s="74" customFormat="1">
      <c r="D405" s="90" t="str">
        <f t="shared" si="219"/>
        <v>PA-04</v>
      </c>
      <c r="E405" s="90">
        <f t="shared" si="220"/>
        <v>78059</v>
      </c>
      <c r="F405" s="21">
        <f t="shared" si="221"/>
        <v>1.75</v>
      </c>
      <c r="G405" s="21">
        <f t="shared" si="222"/>
        <v>2.1739999999999999</v>
      </c>
      <c r="H405" s="153" t="str">
        <f t="shared" si="224"/>
        <v>NO</v>
      </c>
      <c r="I405" s="248" t="s">
        <v>380</v>
      </c>
    </row>
    <row r="406" spans="4:9" s="74" customFormat="1">
      <c r="D406" s="90" t="str">
        <f t="shared" si="219"/>
        <v>PA-05</v>
      </c>
      <c r="E406" s="90">
        <f t="shared" si="220"/>
        <v>78819</v>
      </c>
      <c r="F406" s="21">
        <f t="shared" si="221"/>
        <v>1.24</v>
      </c>
      <c r="G406" s="21">
        <f t="shared" si="222"/>
        <v>1.6640000000000001</v>
      </c>
      <c r="H406" s="153" t="str">
        <f t="shared" si="224"/>
        <v>NO</v>
      </c>
      <c r="I406" s="248" t="s">
        <v>380</v>
      </c>
    </row>
    <row r="407" spans="4:9" s="74" customFormat="1">
      <c r="D407" s="90" t="str">
        <f t="shared" si="219"/>
        <v>PA-06</v>
      </c>
      <c r="E407" s="90">
        <f t="shared" si="220"/>
        <v>78812</v>
      </c>
      <c r="F407" s="21">
        <f t="shared" si="221"/>
        <v>1.3</v>
      </c>
      <c r="G407" s="21">
        <f t="shared" si="222"/>
        <v>1.7240000000000002</v>
      </c>
      <c r="H407" s="153" t="str">
        <f t="shared" si="224"/>
        <v>NO</v>
      </c>
      <c r="I407" s="248" t="s">
        <v>380</v>
      </c>
    </row>
    <row r="408" spans="4:9" s="74" customFormat="1">
      <c r="D408" s="314" t="str">
        <f t="shared" ref="D408:D425" si="225">+B119</f>
        <v>SUMIDEROS</v>
      </c>
      <c r="E408" s="314"/>
      <c r="F408" s="314"/>
      <c r="G408" s="314"/>
      <c r="H408" s="314"/>
      <c r="I408" s="314"/>
    </row>
    <row r="409" spans="4:9" s="74" customFormat="1">
      <c r="D409" s="90" t="str">
        <f t="shared" si="225"/>
        <v>S1</v>
      </c>
      <c r="E409" s="90">
        <f t="shared" ref="E409:E425" si="226">+C120</f>
        <v>79804</v>
      </c>
      <c r="F409" s="21">
        <f t="shared" si="221"/>
        <v>1.1000000000000001</v>
      </c>
      <c r="G409" s="21">
        <f t="shared" ref="G409:G425" si="227">+P60</f>
        <v>1.4732000000000003</v>
      </c>
      <c r="H409" s="153" t="str">
        <f t="shared" ref="H409:H425" si="228">+IF(G409&gt;0.5,"NO","SI")</f>
        <v>NO</v>
      </c>
      <c r="I409" s="248" t="s">
        <v>380</v>
      </c>
    </row>
    <row r="410" spans="4:9" s="74" customFormat="1">
      <c r="D410" s="90" t="str">
        <f t="shared" si="225"/>
        <v>S2</v>
      </c>
      <c r="E410" s="90">
        <f t="shared" si="226"/>
        <v>79804</v>
      </c>
      <c r="F410" s="21">
        <f t="shared" si="221"/>
        <v>1.1000000000000001</v>
      </c>
      <c r="G410" s="21">
        <f t="shared" si="227"/>
        <v>1.4732000000000003</v>
      </c>
      <c r="H410" s="153" t="str">
        <f t="shared" si="228"/>
        <v>NO</v>
      </c>
      <c r="I410" s="248" t="s">
        <v>380</v>
      </c>
    </row>
    <row r="411" spans="4:9" s="74" customFormat="1">
      <c r="D411" s="90" t="str">
        <f t="shared" si="225"/>
        <v>S3</v>
      </c>
      <c r="E411" s="90" t="str">
        <f t="shared" si="226"/>
        <v>PA-03</v>
      </c>
      <c r="F411" s="21">
        <f t="shared" si="221"/>
        <v>1.22</v>
      </c>
      <c r="G411" s="21">
        <f t="shared" si="227"/>
        <v>1.5931999999999999</v>
      </c>
      <c r="H411" s="153" t="str">
        <f t="shared" si="228"/>
        <v>NO</v>
      </c>
      <c r="I411" s="248" t="s">
        <v>380</v>
      </c>
    </row>
    <row r="412" spans="4:9" s="74" customFormat="1">
      <c r="D412" s="90" t="str">
        <f t="shared" si="225"/>
        <v>S4</v>
      </c>
      <c r="E412" s="90" t="str">
        <f t="shared" si="226"/>
        <v>PA-03</v>
      </c>
      <c r="F412" s="21">
        <f t="shared" si="221"/>
        <v>1.19</v>
      </c>
      <c r="G412" s="21">
        <f t="shared" si="227"/>
        <v>1.5632000000000001</v>
      </c>
      <c r="H412" s="153" t="str">
        <f t="shared" si="228"/>
        <v>NO</v>
      </c>
      <c r="I412" s="248" t="s">
        <v>380</v>
      </c>
    </row>
    <row r="413" spans="4:9" s="74" customFormat="1">
      <c r="D413" s="90" t="str">
        <f t="shared" si="225"/>
        <v>S5</v>
      </c>
      <c r="E413" s="90">
        <f t="shared" si="226"/>
        <v>78315</v>
      </c>
      <c r="F413" s="21">
        <f t="shared" si="221"/>
        <v>1.4</v>
      </c>
      <c r="G413" s="21">
        <f t="shared" si="227"/>
        <v>1.7732000000000001</v>
      </c>
      <c r="H413" s="153" t="str">
        <f t="shared" si="228"/>
        <v>NO</v>
      </c>
      <c r="I413" s="248" t="s">
        <v>380</v>
      </c>
    </row>
    <row r="414" spans="4:9" s="74" customFormat="1">
      <c r="D414" s="90" t="str">
        <f t="shared" si="225"/>
        <v>S6</v>
      </c>
      <c r="E414" s="90">
        <f t="shared" si="226"/>
        <v>78315</v>
      </c>
      <c r="F414" s="21">
        <f t="shared" si="221"/>
        <v>1.4</v>
      </c>
      <c r="G414" s="21">
        <f t="shared" si="227"/>
        <v>1.7732000000000001</v>
      </c>
      <c r="H414" s="153" t="str">
        <f t="shared" si="228"/>
        <v>NO</v>
      </c>
      <c r="I414" s="248" t="s">
        <v>380</v>
      </c>
    </row>
    <row r="415" spans="4:9" s="74" customFormat="1">
      <c r="D415" s="90" t="str">
        <f t="shared" si="225"/>
        <v>S7</v>
      </c>
      <c r="E415" s="90" t="str">
        <f t="shared" si="226"/>
        <v>PA-01</v>
      </c>
      <c r="F415" s="21">
        <f t="shared" si="221"/>
        <v>1.1000000000000001</v>
      </c>
      <c r="G415" s="21">
        <f t="shared" si="227"/>
        <v>1.4732000000000003</v>
      </c>
      <c r="H415" s="153" t="str">
        <f t="shared" si="228"/>
        <v>NO</v>
      </c>
      <c r="I415" s="248" t="s">
        <v>380</v>
      </c>
    </row>
    <row r="416" spans="4:9" s="74" customFormat="1">
      <c r="D416" s="90" t="str">
        <f t="shared" si="225"/>
        <v>S8</v>
      </c>
      <c r="E416" s="90" t="str">
        <f t="shared" si="226"/>
        <v>PA-01</v>
      </c>
      <c r="F416" s="21">
        <f t="shared" si="221"/>
        <v>1.1000000000000001</v>
      </c>
      <c r="G416" s="21">
        <f t="shared" si="227"/>
        <v>1.4732000000000003</v>
      </c>
      <c r="H416" s="153" t="str">
        <f t="shared" si="228"/>
        <v>NO</v>
      </c>
      <c r="I416" s="248" t="s">
        <v>380</v>
      </c>
    </row>
    <row r="417" spans="1:16" s="74" customFormat="1">
      <c r="D417" s="90" t="str">
        <f t="shared" si="225"/>
        <v>S9</v>
      </c>
      <c r="E417" s="90" t="str">
        <f t="shared" si="226"/>
        <v>PA-02</v>
      </c>
      <c r="F417" s="21">
        <f t="shared" si="221"/>
        <v>1.2</v>
      </c>
      <c r="G417" s="21">
        <f t="shared" si="227"/>
        <v>1.5731999999999999</v>
      </c>
      <c r="H417" s="153" t="str">
        <f t="shared" si="228"/>
        <v>NO</v>
      </c>
      <c r="I417" s="248" t="s">
        <v>380</v>
      </c>
    </row>
    <row r="418" spans="1:16" s="74" customFormat="1">
      <c r="D418" s="90" t="str">
        <f t="shared" si="225"/>
        <v>S10</v>
      </c>
      <c r="E418" s="90" t="str">
        <f t="shared" si="226"/>
        <v>PA-02</v>
      </c>
      <c r="F418" s="21">
        <f t="shared" si="221"/>
        <v>1.1000000000000001</v>
      </c>
      <c r="G418" s="21">
        <f t="shared" si="227"/>
        <v>1.4732000000000003</v>
      </c>
      <c r="H418" s="153" t="str">
        <f t="shared" si="228"/>
        <v>NO</v>
      </c>
      <c r="I418" s="248" t="s">
        <v>380</v>
      </c>
    </row>
    <row r="419" spans="1:16" s="74" customFormat="1">
      <c r="D419" s="90" t="str">
        <f t="shared" si="225"/>
        <v>S11</v>
      </c>
      <c r="E419" s="90">
        <f t="shared" si="226"/>
        <v>78059</v>
      </c>
      <c r="F419" s="21">
        <f t="shared" si="221"/>
        <v>1.03</v>
      </c>
      <c r="G419" s="21">
        <f t="shared" si="227"/>
        <v>1.4032</v>
      </c>
      <c r="H419" s="153" t="str">
        <f t="shared" si="228"/>
        <v>NO</v>
      </c>
      <c r="I419" s="248" t="s">
        <v>380</v>
      </c>
    </row>
    <row r="420" spans="1:16" s="74" customFormat="1">
      <c r="D420" s="90" t="str">
        <f t="shared" si="225"/>
        <v>S12</v>
      </c>
      <c r="E420" s="90">
        <f t="shared" si="226"/>
        <v>78059</v>
      </c>
      <c r="F420" s="21">
        <f t="shared" si="221"/>
        <v>1.05</v>
      </c>
      <c r="G420" s="21">
        <f t="shared" si="227"/>
        <v>1.4232</v>
      </c>
      <c r="H420" s="153" t="str">
        <f t="shared" si="228"/>
        <v>NO</v>
      </c>
      <c r="I420" s="248" t="s">
        <v>380</v>
      </c>
      <c r="O420" s="1"/>
      <c r="P420" s="13"/>
    </row>
    <row r="421" spans="1:16" s="74" customFormat="1">
      <c r="D421" s="90" t="str">
        <f t="shared" si="225"/>
        <v>S13</v>
      </c>
      <c r="E421" s="90">
        <f t="shared" si="226"/>
        <v>79319</v>
      </c>
      <c r="F421" s="21">
        <f t="shared" si="221"/>
        <v>1.2</v>
      </c>
      <c r="G421" s="21">
        <f t="shared" si="227"/>
        <v>1.5731999999999999</v>
      </c>
      <c r="H421" s="153" t="str">
        <f t="shared" si="228"/>
        <v>NO</v>
      </c>
      <c r="I421" s="248" t="s">
        <v>380</v>
      </c>
      <c r="O421" s="1"/>
      <c r="P421" s="13"/>
    </row>
    <row r="422" spans="1:16" s="74" customFormat="1">
      <c r="D422" s="90" t="str">
        <f t="shared" si="225"/>
        <v>S14</v>
      </c>
      <c r="E422" s="90">
        <f t="shared" si="226"/>
        <v>79319</v>
      </c>
      <c r="F422" s="21">
        <f t="shared" si="221"/>
        <v>1.2</v>
      </c>
      <c r="G422" s="21">
        <f t="shared" si="227"/>
        <v>1.5731999999999999</v>
      </c>
      <c r="H422" s="153" t="str">
        <f t="shared" si="228"/>
        <v>NO</v>
      </c>
      <c r="I422" s="248" t="s">
        <v>380</v>
      </c>
      <c r="O422" s="17" t="s">
        <v>136</v>
      </c>
    </row>
    <row r="423" spans="1:16">
      <c r="D423" s="90" t="str">
        <f t="shared" si="225"/>
        <v>S15</v>
      </c>
      <c r="E423" s="90">
        <f t="shared" si="226"/>
        <v>78819</v>
      </c>
      <c r="F423" s="21">
        <f t="shared" si="221"/>
        <v>1.0900000000000001</v>
      </c>
      <c r="G423" s="21">
        <f t="shared" si="227"/>
        <v>1.4632000000000001</v>
      </c>
      <c r="H423" s="153" t="str">
        <f t="shared" si="228"/>
        <v>NO</v>
      </c>
      <c r="I423" s="248" t="s">
        <v>380</v>
      </c>
    </row>
    <row r="424" spans="1:16">
      <c r="D424" s="90" t="str">
        <f t="shared" si="225"/>
        <v>S16</v>
      </c>
      <c r="E424" s="90">
        <f t="shared" si="226"/>
        <v>78819</v>
      </c>
      <c r="F424" s="21">
        <f t="shared" si="221"/>
        <v>1.24</v>
      </c>
      <c r="G424" s="21">
        <f t="shared" si="227"/>
        <v>1.6132</v>
      </c>
      <c r="H424" s="153" t="str">
        <f t="shared" si="228"/>
        <v>NO</v>
      </c>
      <c r="I424" s="248" t="s">
        <v>380</v>
      </c>
    </row>
    <row r="425" spans="1:16">
      <c r="D425" s="90" t="str">
        <f t="shared" si="225"/>
        <v>S17</v>
      </c>
      <c r="E425" s="90">
        <f t="shared" si="226"/>
        <v>78819</v>
      </c>
      <c r="F425" s="21">
        <f t="shared" si="221"/>
        <v>1.1100000000000001</v>
      </c>
      <c r="G425" s="21">
        <f t="shared" si="227"/>
        <v>1.4832000000000001</v>
      </c>
      <c r="H425" s="153" t="str">
        <f t="shared" si="228"/>
        <v>NO</v>
      </c>
      <c r="I425" s="248" t="s">
        <v>380</v>
      </c>
    </row>
    <row r="426" spans="1:16">
      <c r="D426" s="90" t="str">
        <f t="shared" ref="D426:D428" si="229">+B137</f>
        <v>S18</v>
      </c>
      <c r="E426" s="90">
        <f t="shared" ref="E426:E428" si="230">+C137</f>
        <v>78819</v>
      </c>
      <c r="F426" s="21">
        <f t="shared" si="221"/>
        <v>1.1100000000000001</v>
      </c>
      <c r="G426" s="21">
        <f t="shared" ref="G426:G428" si="231">+P77</f>
        <v>1.4832000000000001</v>
      </c>
      <c r="H426" s="153" t="str">
        <f t="shared" ref="H426:H428" si="232">+IF(G426&gt;0.5,"NO","SI")</f>
        <v>NO</v>
      </c>
      <c r="I426" s="248" t="s">
        <v>380</v>
      </c>
    </row>
    <row r="427" spans="1:16">
      <c r="D427" s="90" t="str">
        <f t="shared" si="229"/>
        <v>S19</v>
      </c>
      <c r="E427" s="90">
        <f t="shared" si="230"/>
        <v>78059</v>
      </c>
      <c r="F427" s="21">
        <f t="shared" si="221"/>
        <v>1.5</v>
      </c>
      <c r="G427" s="21">
        <f t="shared" si="231"/>
        <v>1.8732000000000002</v>
      </c>
      <c r="H427" s="153" t="str">
        <f t="shared" si="232"/>
        <v>NO</v>
      </c>
      <c r="I427" s="248" t="s">
        <v>380</v>
      </c>
    </row>
    <row r="428" spans="1:16">
      <c r="D428" s="90" t="str">
        <f t="shared" si="229"/>
        <v>S20</v>
      </c>
      <c r="E428" s="90">
        <f t="shared" si="230"/>
        <v>78059</v>
      </c>
      <c r="F428" s="21">
        <f t="shared" si="221"/>
        <v>1.5</v>
      </c>
      <c r="G428" s="21">
        <f t="shared" si="231"/>
        <v>1.8732000000000002</v>
      </c>
      <c r="H428" s="153" t="str">
        <f t="shared" si="232"/>
        <v>NO</v>
      </c>
      <c r="I428" s="248" t="s">
        <v>380</v>
      </c>
    </row>
    <row r="430" spans="1:16">
      <c r="A430" s="64" t="s">
        <v>398</v>
      </c>
      <c r="B430" s="74"/>
      <c r="C430" s="74"/>
      <c r="D430" s="74"/>
      <c r="E430" s="74"/>
      <c r="F430" s="74"/>
      <c r="G430" s="74"/>
      <c r="H430" s="74"/>
      <c r="I430" s="74"/>
      <c r="J430" s="74"/>
      <c r="K430" s="74"/>
      <c r="L430" s="74"/>
      <c r="M430" s="74"/>
    </row>
    <row r="431" spans="1:16">
      <c r="A431" s="65"/>
      <c r="B431" s="74"/>
      <c r="C431" s="74"/>
      <c r="D431" s="74"/>
      <c r="E431" s="74"/>
      <c r="F431" s="74"/>
      <c r="G431" s="74"/>
      <c r="H431" s="74"/>
      <c r="I431" s="74"/>
      <c r="J431" s="74"/>
      <c r="K431" s="74"/>
      <c r="L431" s="74"/>
      <c r="M431" s="74"/>
    </row>
    <row r="432" spans="1:16">
      <c r="A432" s="17" t="s">
        <v>392</v>
      </c>
    </row>
    <row r="433" s="17" customFormat="1"/>
    <row r="434" s="17" customFormat="1"/>
    <row r="435" s="17" customFormat="1"/>
    <row r="436" s="17" customFormat="1"/>
    <row r="437" s="17" customFormat="1"/>
    <row r="438" s="17" customFormat="1"/>
    <row r="439" s="17" customFormat="1"/>
    <row r="440" s="17" customFormat="1"/>
    <row r="441" s="17" customFormat="1"/>
    <row r="442" s="17" customFormat="1"/>
    <row r="443" s="17" customFormat="1"/>
    <row r="444" s="17" customFormat="1"/>
    <row r="445" s="17" customFormat="1"/>
    <row r="446" s="17" customFormat="1"/>
    <row r="447" s="17" customFormat="1"/>
    <row r="448" s="17" customFormat="1"/>
    <row r="457" spans="2:12">
      <c r="B457" s="279" t="s">
        <v>128</v>
      </c>
      <c r="C457" s="309" t="s">
        <v>129</v>
      </c>
      <c r="D457" s="274" t="s">
        <v>48</v>
      </c>
      <c r="E457" s="274" t="s">
        <v>16</v>
      </c>
      <c r="F457" s="274" t="s">
        <v>134</v>
      </c>
      <c r="G457" s="274" t="s">
        <v>391</v>
      </c>
      <c r="H457" s="310" t="s">
        <v>393</v>
      </c>
      <c r="I457" s="279" t="s">
        <v>394</v>
      </c>
      <c r="J457" s="279" t="s">
        <v>395</v>
      </c>
      <c r="K457" s="279" t="s">
        <v>396</v>
      </c>
      <c r="L457" s="279" t="s">
        <v>397</v>
      </c>
    </row>
    <row r="458" spans="2:12">
      <c r="B458" s="279"/>
      <c r="C458" s="309"/>
      <c r="D458" s="275"/>
      <c r="E458" s="275"/>
      <c r="F458" s="275"/>
      <c r="G458" s="275"/>
      <c r="H458" s="310"/>
      <c r="I458" s="279"/>
      <c r="J458" s="279"/>
      <c r="K458" s="279"/>
      <c r="L458" s="279"/>
    </row>
    <row r="459" spans="2:12">
      <c r="B459" s="90">
        <f t="shared" ref="B459:B475" si="233">+D391</f>
        <v>131946</v>
      </c>
      <c r="C459" s="263" t="str">
        <f t="shared" ref="C459:C475" si="234">+E391</f>
        <v>131946A</v>
      </c>
      <c r="D459" s="21">
        <f>+G346</f>
        <v>0.2732</v>
      </c>
      <c r="E459" s="21">
        <f>+G245</f>
        <v>1</v>
      </c>
      <c r="F459" s="21">
        <f>+F391</f>
        <v>2.73</v>
      </c>
      <c r="G459" s="21">
        <f>+G391</f>
        <v>3.1032000000000002</v>
      </c>
      <c r="H459" s="264">
        <v>0.1</v>
      </c>
      <c r="I459" s="21">
        <f>0.6*D459</f>
        <v>0.16391999999999998</v>
      </c>
      <c r="J459" s="21">
        <f>(0.4*D459)+0.3</f>
        <v>0.40927999999999998</v>
      </c>
      <c r="K459" s="21">
        <f>+G459-J459-I459-H459-L459</f>
        <v>1.9300000000000002</v>
      </c>
      <c r="L459" s="21">
        <v>0.5</v>
      </c>
    </row>
    <row r="460" spans="2:12">
      <c r="B460" s="90" t="str">
        <f t="shared" si="233"/>
        <v>131946A</v>
      </c>
      <c r="C460" s="263">
        <f t="shared" si="234"/>
        <v>131916</v>
      </c>
      <c r="D460" s="21">
        <f t="shared" ref="D460:D496" si="235">+G347</f>
        <v>0.2732</v>
      </c>
      <c r="E460" s="21">
        <f t="shared" ref="E460:E496" si="236">+G246</f>
        <v>1</v>
      </c>
      <c r="F460" s="21">
        <f t="shared" ref="F460:G460" si="237">+F392</f>
        <v>2.76</v>
      </c>
      <c r="G460" s="21">
        <f t="shared" si="237"/>
        <v>3.1332</v>
      </c>
      <c r="H460" s="264">
        <v>0.1</v>
      </c>
      <c r="I460" s="21">
        <f t="shared" ref="I460:I496" si="238">0.6*D460</f>
        <v>0.16391999999999998</v>
      </c>
      <c r="J460" s="21">
        <f t="shared" ref="J460:J496" si="239">(0.4*D460)+0.3</f>
        <v>0.40927999999999998</v>
      </c>
      <c r="K460" s="21">
        <f t="shared" ref="K460:K496" si="240">+G460-J460-I460-H460-L460</f>
        <v>1.96</v>
      </c>
      <c r="L460" s="21">
        <v>0.5</v>
      </c>
    </row>
    <row r="461" spans="2:12">
      <c r="B461" s="90">
        <f t="shared" si="233"/>
        <v>80268</v>
      </c>
      <c r="C461" s="263">
        <f t="shared" si="234"/>
        <v>131796</v>
      </c>
      <c r="D461" s="21">
        <f t="shared" si="235"/>
        <v>0.2732</v>
      </c>
      <c r="E461" s="21">
        <f t="shared" si="236"/>
        <v>1</v>
      </c>
      <c r="F461" s="21">
        <f t="shared" ref="F461:G461" si="241">+F393</f>
        <v>2.98</v>
      </c>
      <c r="G461" s="21">
        <f t="shared" si="241"/>
        <v>3.3532000000000002</v>
      </c>
      <c r="H461" s="264">
        <v>0.1</v>
      </c>
      <c r="I461" s="21">
        <f t="shared" si="238"/>
        <v>0.16391999999999998</v>
      </c>
      <c r="J461" s="21">
        <f t="shared" si="239"/>
        <v>0.40927999999999998</v>
      </c>
      <c r="K461" s="21">
        <f t="shared" si="240"/>
        <v>2.1800000000000002</v>
      </c>
      <c r="L461" s="21">
        <v>0.5</v>
      </c>
    </row>
    <row r="462" spans="2:12">
      <c r="B462" s="90">
        <f t="shared" si="233"/>
        <v>131796</v>
      </c>
      <c r="C462" s="263">
        <f t="shared" si="234"/>
        <v>131732</v>
      </c>
      <c r="D462" s="21">
        <f t="shared" si="235"/>
        <v>0.2732</v>
      </c>
      <c r="E462" s="21">
        <f t="shared" si="236"/>
        <v>1</v>
      </c>
      <c r="F462" s="21">
        <f t="shared" ref="F462:G462" si="242">+F394</f>
        <v>3.17</v>
      </c>
      <c r="G462" s="21">
        <f t="shared" si="242"/>
        <v>3.5432000000000001</v>
      </c>
      <c r="H462" s="264">
        <v>0.1</v>
      </c>
      <c r="I462" s="21">
        <f t="shared" si="238"/>
        <v>0.16391999999999998</v>
      </c>
      <c r="J462" s="21">
        <f t="shared" si="239"/>
        <v>0.40927999999999998</v>
      </c>
      <c r="K462" s="21">
        <f t="shared" si="240"/>
        <v>2.37</v>
      </c>
      <c r="L462" s="21">
        <v>0.5</v>
      </c>
    </row>
    <row r="463" spans="2:12">
      <c r="B463" s="90" t="str">
        <f t="shared" si="233"/>
        <v>78819A</v>
      </c>
      <c r="C463" s="263" t="str">
        <f t="shared" si="234"/>
        <v>131750A</v>
      </c>
      <c r="D463" s="21">
        <f t="shared" si="235"/>
        <v>0.32400000000000001</v>
      </c>
      <c r="E463" s="21">
        <f t="shared" si="236"/>
        <v>1</v>
      </c>
      <c r="F463" s="21">
        <f t="shared" ref="F463:G463" si="243">+F395</f>
        <v>2.98</v>
      </c>
      <c r="G463" s="21">
        <f t="shared" si="243"/>
        <v>3.4039999999999999</v>
      </c>
      <c r="H463" s="264">
        <v>0.1</v>
      </c>
      <c r="I463" s="21">
        <f t="shared" si="238"/>
        <v>0.19439999999999999</v>
      </c>
      <c r="J463" s="21">
        <f t="shared" si="239"/>
        <v>0.42959999999999998</v>
      </c>
      <c r="K463" s="21">
        <f t="shared" si="240"/>
        <v>2.1800000000000002</v>
      </c>
      <c r="L463" s="21">
        <v>0.5</v>
      </c>
    </row>
    <row r="464" spans="2:12">
      <c r="B464" s="90" t="str">
        <f t="shared" si="233"/>
        <v>131750A</v>
      </c>
      <c r="C464" s="263">
        <f t="shared" si="234"/>
        <v>131732</v>
      </c>
      <c r="D464" s="21">
        <f t="shared" si="235"/>
        <v>0.32400000000000001</v>
      </c>
      <c r="E464" s="21">
        <f t="shared" si="236"/>
        <v>1</v>
      </c>
      <c r="F464" s="21">
        <f t="shared" ref="F464:G464" si="244">+F396</f>
        <v>2.63</v>
      </c>
      <c r="G464" s="21">
        <f t="shared" si="244"/>
        <v>3.0539999999999998</v>
      </c>
      <c r="H464" s="264">
        <v>0.1</v>
      </c>
      <c r="I464" s="21">
        <f t="shared" si="238"/>
        <v>0.19439999999999999</v>
      </c>
      <c r="J464" s="21">
        <f t="shared" si="239"/>
        <v>0.42959999999999998</v>
      </c>
      <c r="K464" s="21">
        <f t="shared" si="240"/>
        <v>1.8299999999999996</v>
      </c>
      <c r="L464" s="21">
        <v>0.5</v>
      </c>
    </row>
    <row r="465" spans="2:12">
      <c r="B465" s="90" t="str">
        <f t="shared" si="233"/>
        <v>131732A</v>
      </c>
      <c r="C465" s="263">
        <f t="shared" si="234"/>
        <v>131732</v>
      </c>
      <c r="D465" s="21">
        <f t="shared" si="235"/>
        <v>0.2732</v>
      </c>
      <c r="E465" s="21">
        <f t="shared" si="236"/>
        <v>1</v>
      </c>
      <c r="F465" s="21">
        <f t="shared" ref="F465:G465" si="245">+F397</f>
        <v>2.37</v>
      </c>
      <c r="G465" s="21">
        <f t="shared" si="245"/>
        <v>2.7432000000000003</v>
      </c>
      <c r="H465" s="264">
        <v>0.1</v>
      </c>
      <c r="I465" s="21">
        <f t="shared" si="238"/>
        <v>0.16391999999999998</v>
      </c>
      <c r="J465" s="21">
        <f t="shared" si="239"/>
        <v>0.40927999999999998</v>
      </c>
      <c r="K465" s="21">
        <f t="shared" si="240"/>
        <v>1.5700000000000003</v>
      </c>
      <c r="L465" s="21">
        <v>0.5</v>
      </c>
    </row>
    <row r="466" spans="2:12">
      <c r="B466" s="90">
        <f t="shared" si="233"/>
        <v>80265</v>
      </c>
      <c r="C466" s="263" t="str">
        <f t="shared" si="234"/>
        <v>80265A</v>
      </c>
      <c r="D466" s="21">
        <f t="shared" si="235"/>
        <v>0.2732</v>
      </c>
      <c r="E466" s="21">
        <f t="shared" si="236"/>
        <v>1</v>
      </c>
      <c r="F466" s="21">
        <f t="shared" ref="F466:G466" si="246">+F398</f>
        <v>2.4500000000000002</v>
      </c>
      <c r="G466" s="21">
        <f t="shared" si="246"/>
        <v>2.8232000000000004</v>
      </c>
      <c r="H466" s="264">
        <v>0.1</v>
      </c>
      <c r="I466" s="21">
        <f t="shared" si="238"/>
        <v>0.16391999999999998</v>
      </c>
      <c r="J466" s="21">
        <f t="shared" si="239"/>
        <v>0.40927999999999998</v>
      </c>
      <c r="K466" s="21">
        <f t="shared" si="240"/>
        <v>1.6500000000000004</v>
      </c>
      <c r="L466" s="21">
        <v>0.5</v>
      </c>
    </row>
    <row r="467" spans="2:12">
      <c r="B467" s="90" t="str">
        <f t="shared" si="233"/>
        <v>80265A</v>
      </c>
      <c r="C467" s="263" t="str">
        <f t="shared" si="234"/>
        <v>131732B</v>
      </c>
      <c r="D467" s="21">
        <f t="shared" si="235"/>
        <v>0.2732</v>
      </c>
      <c r="E467" s="21">
        <f t="shared" si="236"/>
        <v>1</v>
      </c>
      <c r="F467" s="21">
        <f t="shared" ref="F467:G467" si="247">+F399</f>
        <v>2.2999999999999998</v>
      </c>
      <c r="G467" s="21">
        <f t="shared" si="247"/>
        <v>2.6732</v>
      </c>
      <c r="H467" s="264">
        <v>0.1</v>
      </c>
      <c r="I467" s="21">
        <f t="shared" si="238"/>
        <v>0.16391999999999998</v>
      </c>
      <c r="J467" s="21">
        <f t="shared" si="239"/>
        <v>0.40927999999999998</v>
      </c>
      <c r="K467" s="21">
        <f t="shared" si="240"/>
        <v>1.5</v>
      </c>
      <c r="L467" s="21">
        <v>0.5</v>
      </c>
    </row>
    <row r="468" spans="2:12">
      <c r="B468" s="90" t="str">
        <f t="shared" si="233"/>
        <v>PZ-V1</v>
      </c>
      <c r="C468" s="263" t="str">
        <f t="shared" si="234"/>
        <v>80265A</v>
      </c>
      <c r="D468" s="21">
        <f t="shared" si="235"/>
        <v>0.2732</v>
      </c>
      <c r="E468" s="21">
        <f t="shared" si="236"/>
        <v>1</v>
      </c>
      <c r="F468" s="21">
        <f t="shared" ref="F468:G468" si="248">+F400</f>
        <v>1.46</v>
      </c>
      <c r="G468" s="21">
        <f t="shared" si="248"/>
        <v>1.8332000000000002</v>
      </c>
      <c r="H468" s="264">
        <v>0.1</v>
      </c>
      <c r="I468" s="21">
        <f t="shared" si="238"/>
        <v>0.16391999999999998</v>
      </c>
      <c r="J468" s="21">
        <f t="shared" si="239"/>
        <v>0.40927999999999998</v>
      </c>
      <c r="K468" s="21">
        <f t="shared" si="240"/>
        <v>0.66000000000000014</v>
      </c>
      <c r="L468" s="21">
        <v>0.5</v>
      </c>
    </row>
    <row r="469" spans="2:12">
      <c r="B469" s="90" t="str">
        <f t="shared" si="233"/>
        <v>PZ-V2</v>
      </c>
      <c r="C469" s="263" t="str">
        <f t="shared" si="234"/>
        <v>131732B</v>
      </c>
      <c r="D469" s="21">
        <f t="shared" si="235"/>
        <v>0.2732</v>
      </c>
      <c r="E469" s="21">
        <f t="shared" si="236"/>
        <v>1</v>
      </c>
      <c r="F469" s="21">
        <f t="shared" ref="F469:G469" si="249">+F401</f>
        <v>1.75</v>
      </c>
      <c r="G469" s="21">
        <f t="shared" si="249"/>
        <v>2.1232000000000002</v>
      </c>
      <c r="H469" s="264">
        <v>0.1</v>
      </c>
      <c r="I469" s="21">
        <f t="shared" si="238"/>
        <v>0.16391999999999998</v>
      </c>
      <c r="J469" s="21">
        <f t="shared" si="239"/>
        <v>0.40927999999999998</v>
      </c>
      <c r="K469" s="21">
        <f t="shared" si="240"/>
        <v>0.95000000000000018</v>
      </c>
      <c r="L469" s="21">
        <v>0.5</v>
      </c>
    </row>
    <row r="470" spans="2:12">
      <c r="B470" s="90" t="str">
        <f t="shared" si="233"/>
        <v>PA-01</v>
      </c>
      <c r="C470" s="263" t="str">
        <f t="shared" si="234"/>
        <v>PA-02</v>
      </c>
      <c r="D470" s="21">
        <f t="shared" si="235"/>
        <v>0.32400000000000001</v>
      </c>
      <c r="E470" s="21">
        <f t="shared" si="236"/>
        <v>1</v>
      </c>
      <c r="F470" s="21">
        <f t="shared" ref="F470:G470" si="250">+F402</f>
        <v>1.2</v>
      </c>
      <c r="G470" s="21">
        <f t="shared" si="250"/>
        <v>1.6240000000000001</v>
      </c>
      <c r="H470" s="264">
        <v>0.1</v>
      </c>
      <c r="I470" s="21">
        <f t="shared" si="238"/>
        <v>0.19439999999999999</v>
      </c>
      <c r="J470" s="21">
        <f t="shared" si="239"/>
        <v>0.42959999999999998</v>
      </c>
      <c r="K470" s="21">
        <f t="shared" si="240"/>
        <v>0.40000000000000024</v>
      </c>
      <c r="L470" s="21">
        <v>0.5</v>
      </c>
    </row>
    <row r="471" spans="2:12">
      <c r="B471" s="90" t="str">
        <f t="shared" si="233"/>
        <v>PA-02</v>
      </c>
      <c r="C471" s="263">
        <f t="shared" si="234"/>
        <v>78059</v>
      </c>
      <c r="D471" s="21">
        <f t="shared" si="235"/>
        <v>0.32400000000000001</v>
      </c>
      <c r="E471" s="21">
        <f t="shared" si="236"/>
        <v>1</v>
      </c>
      <c r="F471" s="21">
        <f t="shared" ref="F471:G471" si="251">+F403</f>
        <v>1.25</v>
      </c>
      <c r="G471" s="21">
        <f t="shared" si="251"/>
        <v>1.6740000000000002</v>
      </c>
      <c r="H471" s="264">
        <v>0.1</v>
      </c>
      <c r="I471" s="21">
        <f t="shared" si="238"/>
        <v>0.19439999999999999</v>
      </c>
      <c r="J471" s="21">
        <f t="shared" si="239"/>
        <v>0.42959999999999998</v>
      </c>
      <c r="K471" s="21">
        <f t="shared" si="240"/>
        <v>0.45000000000000029</v>
      </c>
      <c r="L471" s="21">
        <v>0.5</v>
      </c>
    </row>
    <row r="472" spans="2:12">
      <c r="B472" s="90" t="str">
        <f t="shared" si="233"/>
        <v>PA-03</v>
      </c>
      <c r="C472" s="263">
        <f t="shared" si="234"/>
        <v>78315</v>
      </c>
      <c r="D472" s="21">
        <f t="shared" si="235"/>
        <v>0.32400000000000001</v>
      </c>
      <c r="E472" s="21">
        <f t="shared" si="236"/>
        <v>1</v>
      </c>
      <c r="F472" s="21">
        <f t="shared" ref="F472:G472" si="252">+F404</f>
        <v>1.2</v>
      </c>
      <c r="G472" s="21">
        <f t="shared" si="252"/>
        <v>1.6240000000000001</v>
      </c>
      <c r="H472" s="264">
        <v>0.1</v>
      </c>
      <c r="I472" s="21">
        <f t="shared" si="238"/>
        <v>0.19439999999999999</v>
      </c>
      <c r="J472" s="21">
        <f t="shared" si="239"/>
        <v>0.42959999999999998</v>
      </c>
      <c r="K472" s="21">
        <f t="shared" si="240"/>
        <v>0.40000000000000024</v>
      </c>
      <c r="L472" s="21">
        <v>0.5</v>
      </c>
    </row>
    <row r="473" spans="2:12">
      <c r="B473" s="90" t="str">
        <f t="shared" si="233"/>
        <v>PA-04</v>
      </c>
      <c r="C473" s="263">
        <f t="shared" si="234"/>
        <v>78059</v>
      </c>
      <c r="D473" s="21">
        <f t="shared" si="235"/>
        <v>0.32400000000000001</v>
      </c>
      <c r="E473" s="21">
        <f t="shared" si="236"/>
        <v>1</v>
      </c>
      <c r="F473" s="21">
        <f t="shared" ref="F473:G473" si="253">+F405</f>
        <v>1.75</v>
      </c>
      <c r="G473" s="21">
        <f t="shared" si="253"/>
        <v>2.1739999999999999</v>
      </c>
      <c r="H473" s="264">
        <v>0.1</v>
      </c>
      <c r="I473" s="21">
        <f t="shared" si="238"/>
        <v>0.19439999999999999</v>
      </c>
      <c r="J473" s="21">
        <f t="shared" si="239"/>
        <v>0.42959999999999998</v>
      </c>
      <c r="K473" s="21">
        <f t="shared" si="240"/>
        <v>0.95</v>
      </c>
      <c r="L473" s="21">
        <v>0.5</v>
      </c>
    </row>
    <row r="474" spans="2:12">
      <c r="B474" s="90" t="str">
        <f t="shared" si="233"/>
        <v>PA-05</v>
      </c>
      <c r="C474" s="263">
        <f t="shared" si="234"/>
        <v>78819</v>
      </c>
      <c r="D474" s="21">
        <f t="shared" si="235"/>
        <v>0.32400000000000001</v>
      </c>
      <c r="E474" s="21">
        <f t="shared" si="236"/>
        <v>1</v>
      </c>
      <c r="F474" s="21">
        <f t="shared" ref="F474:G474" si="254">+F406</f>
        <v>1.24</v>
      </c>
      <c r="G474" s="21">
        <f t="shared" si="254"/>
        <v>1.6640000000000001</v>
      </c>
      <c r="H474" s="264">
        <v>0.1</v>
      </c>
      <c r="I474" s="21">
        <f t="shared" si="238"/>
        <v>0.19439999999999999</v>
      </c>
      <c r="J474" s="21">
        <f t="shared" si="239"/>
        <v>0.42959999999999998</v>
      </c>
      <c r="K474" s="21">
        <f t="shared" si="240"/>
        <v>0.44000000000000028</v>
      </c>
      <c r="L474" s="21">
        <v>0.5</v>
      </c>
    </row>
    <row r="475" spans="2:12">
      <c r="B475" s="90" t="str">
        <f t="shared" si="233"/>
        <v>PA-06</v>
      </c>
      <c r="C475" s="263">
        <f t="shared" si="234"/>
        <v>78812</v>
      </c>
      <c r="D475" s="21">
        <f t="shared" si="235"/>
        <v>0.32400000000000001</v>
      </c>
      <c r="E475" s="21">
        <f t="shared" si="236"/>
        <v>1</v>
      </c>
      <c r="F475" s="21">
        <f t="shared" ref="F475:G475" si="255">+F407</f>
        <v>1.3</v>
      </c>
      <c r="G475" s="21">
        <f t="shared" si="255"/>
        <v>1.7240000000000002</v>
      </c>
      <c r="H475" s="264">
        <v>0.1</v>
      </c>
      <c r="I475" s="21">
        <f t="shared" si="238"/>
        <v>0.19439999999999999</v>
      </c>
      <c r="J475" s="21">
        <f t="shared" si="239"/>
        <v>0.42959999999999998</v>
      </c>
      <c r="K475" s="21">
        <f t="shared" si="240"/>
        <v>0.50000000000000022</v>
      </c>
      <c r="L475" s="21">
        <v>0.5</v>
      </c>
    </row>
    <row r="476" spans="2:12">
      <c r="B476" s="276" t="str">
        <f t="shared" ref="B476:B496" si="256">+D408</f>
        <v>SUMIDEROS</v>
      </c>
      <c r="C476" s="277"/>
      <c r="D476" s="277"/>
      <c r="E476" s="277"/>
      <c r="F476" s="277"/>
      <c r="G476" s="277"/>
      <c r="H476" s="277"/>
      <c r="I476" s="277"/>
      <c r="J476" s="277"/>
      <c r="K476" s="277"/>
      <c r="L476" s="278"/>
    </row>
    <row r="477" spans="2:12">
      <c r="B477" s="90" t="str">
        <f t="shared" si="256"/>
        <v>S1</v>
      </c>
      <c r="C477" s="263">
        <f t="shared" ref="C477:C496" si="257">+E409</f>
        <v>79804</v>
      </c>
      <c r="D477" s="21">
        <f t="shared" si="235"/>
        <v>0.2732</v>
      </c>
      <c r="E477" s="21">
        <f t="shared" si="236"/>
        <v>1</v>
      </c>
      <c r="F477" s="21">
        <f t="shared" ref="F477:G477" si="258">+F409</f>
        <v>1.1000000000000001</v>
      </c>
      <c r="G477" s="21">
        <f t="shared" si="258"/>
        <v>1.4732000000000003</v>
      </c>
      <c r="H477" s="264">
        <v>0.1</v>
      </c>
      <c r="I477" s="21">
        <f t="shared" si="238"/>
        <v>0.16391999999999998</v>
      </c>
      <c r="J477" s="21">
        <f t="shared" si="239"/>
        <v>0.40927999999999998</v>
      </c>
      <c r="K477" s="21">
        <f t="shared" si="240"/>
        <v>0.30000000000000049</v>
      </c>
      <c r="L477" s="21">
        <v>0.5</v>
      </c>
    </row>
    <row r="478" spans="2:12">
      <c r="B478" s="90" t="str">
        <f t="shared" si="256"/>
        <v>S2</v>
      </c>
      <c r="C478" s="263">
        <f t="shared" si="257"/>
        <v>79804</v>
      </c>
      <c r="D478" s="21">
        <f t="shared" si="235"/>
        <v>0.2732</v>
      </c>
      <c r="E478" s="21">
        <f t="shared" si="236"/>
        <v>1</v>
      </c>
      <c r="F478" s="21">
        <f t="shared" ref="F478:G478" si="259">+F410</f>
        <v>1.1000000000000001</v>
      </c>
      <c r="G478" s="21">
        <f t="shared" si="259"/>
        <v>1.4732000000000003</v>
      </c>
      <c r="H478" s="264">
        <v>0.1</v>
      </c>
      <c r="I478" s="21">
        <f t="shared" si="238"/>
        <v>0.16391999999999998</v>
      </c>
      <c r="J478" s="21">
        <f t="shared" si="239"/>
        <v>0.40927999999999998</v>
      </c>
      <c r="K478" s="21">
        <f t="shared" si="240"/>
        <v>0.30000000000000049</v>
      </c>
      <c r="L478" s="21">
        <v>0.5</v>
      </c>
    </row>
    <row r="479" spans="2:12">
      <c r="B479" s="90" t="str">
        <f t="shared" si="256"/>
        <v>S3</v>
      </c>
      <c r="C479" s="263" t="str">
        <f t="shared" si="257"/>
        <v>PA-03</v>
      </c>
      <c r="D479" s="21">
        <f t="shared" si="235"/>
        <v>0.2732</v>
      </c>
      <c r="E479" s="21">
        <f t="shared" si="236"/>
        <v>1</v>
      </c>
      <c r="F479" s="21">
        <f t="shared" ref="F479:G479" si="260">+F411</f>
        <v>1.22</v>
      </c>
      <c r="G479" s="21">
        <f t="shared" si="260"/>
        <v>1.5931999999999999</v>
      </c>
      <c r="H479" s="264">
        <v>0.1</v>
      </c>
      <c r="I479" s="21">
        <f t="shared" si="238"/>
        <v>0.16391999999999998</v>
      </c>
      <c r="J479" s="21">
        <f t="shared" si="239"/>
        <v>0.40927999999999998</v>
      </c>
      <c r="K479" s="21">
        <f t="shared" si="240"/>
        <v>0.42000000000000004</v>
      </c>
      <c r="L479" s="21">
        <v>0.5</v>
      </c>
    </row>
    <row r="480" spans="2:12">
      <c r="B480" s="90" t="str">
        <f t="shared" si="256"/>
        <v>S4</v>
      </c>
      <c r="C480" s="263" t="str">
        <f t="shared" si="257"/>
        <v>PA-03</v>
      </c>
      <c r="D480" s="21">
        <f t="shared" si="235"/>
        <v>0.2732</v>
      </c>
      <c r="E480" s="21">
        <f t="shared" si="236"/>
        <v>1</v>
      </c>
      <c r="F480" s="21">
        <f t="shared" ref="F480:G480" si="261">+F412</f>
        <v>1.19</v>
      </c>
      <c r="G480" s="21">
        <f t="shared" si="261"/>
        <v>1.5632000000000001</v>
      </c>
      <c r="H480" s="264">
        <v>0.1</v>
      </c>
      <c r="I480" s="21">
        <f t="shared" si="238"/>
        <v>0.16391999999999998</v>
      </c>
      <c r="J480" s="21">
        <f t="shared" si="239"/>
        <v>0.40927999999999998</v>
      </c>
      <c r="K480" s="21">
        <f t="shared" si="240"/>
        <v>0.39000000000000035</v>
      </c>
      <c r="L480" s="21">
        <v>0.5</v>
      </c>
    </row>
    <row r="481" spans="2:12">
      <c r="B481" s="90" t="str">
        <f t="shared" si="256"/>
        <v>S5</v>
      </c>
      <c r="C481" s="263">
        <f t="shared" si="257"/>
        <v>78315</v>
      </c>
      <c r="D481" s="21">
        <f t="shared" si="235"/>
        <v>0.2732</v>
      </c>
      <c r="E481" s="21">
        <f t="shared" si="236"/>
        <v>1</v>
      </c>
      <c r="F481" s="21">
        <f t="shared" ref="F481:G481" si="262">+F413</f>
        <v>1.4</v>
      </c>
      <c r="G481" s="21">
        <f t="shared" si="262"/>
        <v>1.7732000000000001</v>
      </c>
      <c r="H481" s="264">
        <v>0.1</v>
      </c>
      <c r="I481" s="21">
        <f t="shared" si="238"/>
        <v>0.16391999999999998</v>
      </c>
      <c r="J481" s="21">
        <f t="shared" si="239"/>
        <v>0.40927999999999998</v>
      </c>
      <c r="K481" s="21">
        <f t="shared" si="240"/>
        <v>0.60000000000000009</v>
      </c>
      <c r="L481" s="21">
        <v>0.5</v>
      </c>
    </row>
    <row r="482" spans="2:12">
      <c r="B482" s="90" t="str">
        <f t="shared" si="256"/>
        <v>S6</v>
      </c>
      <c r="C482" s="263">
        <f t="shared" si="257"/>
        <v>78315</v>
      </c>
      <c r="D482" s="21">
        <f t="shared" si="235"/>
        <v>0.2732</v>
      </c>
      <c r="E482" s="21">
        <f t="shared" si="236"/>
        <v>1</v>
      </c>
      <c r="F482" s="21">
        <f t="shared" ref="F482:G482" si="263">+F414</f>
        <v>1.4</v>
      </c>
      <c r="G482" s="21">
        <f t="shared" si="263"/>
        <v>1.7732000000000001</v>
      </c>
      <c r="H482" s="264">
        <v>0.1</v>
      </c>
      <c r="I482" s="21">
        <f t="shared" si="238"/>
        <v>0.16391999999999998</v>
      </c>
      <c r="J482" s="21">
        <f t="shared" si="239"/>
        <v>0.40927999999999998</v>
      </c>
      <c r="K482" s="21">
        <f t="shared" si="240"/>
        <v>0.60000000000000009</v>
      </c>
      <c r="L482" s="21">
        <v>0.5</v>
      </c>
    </row>
    <row r="483" spans="2:12">
      <c r="B483" s="90" t="str">
        <f t="shared" si="256"/>
        <v>S7</v>
      </c>
      <c r="C483" s="263" t="str">
        <f t="shared" si="257"/>
        <v>PA-01</v>
      </c>
      <c r="D483" s="21">
        <f t="shared" si="235"/>
        <v>0.2732</v>
      </c>
      <c r="E483" s="21">
        <f t="shared" si="236"/>
        <v>1</v>
      </c>
      <c r="F483" s="21">
        <f t="shared" ref="F483:G483" si="264">+F415</f>
        <v>1.1000000000000001</v>
      </c>
      <c r="G483" s="21">
        <f t="shared" si="264"/>
        <v>1.4732000000000003</v>
      </c>
      <c r="H483" s="264">
        <v>0.1</v>
      </c>
      <c r="I483" s="21">
        <f t="shared" si="238"/>
        <v>0.16391999999999998</v>
      </c>
      <c r="J483" s="21">
        <f t="shared" si="239"/>
        <v>0.40927999999999998</v>
      </c>
      <c r="K483" s="21">
        <f t="shared" si="240"/>
        <v>0.30000000000000049</v>
      </c>
      <c r="L483" s="21">
        <v>0.5</v>
      </c>
    </row>
    <row r="484" spans="2:12">
      <c r="B484" s="90" t="str">
        <f t="shared" si="256"/>
        <v>S8</v>
      </c>
      <c r="C484" s="263" t="str">
        <f t="shared" si="257"/>
        <v>PA-01</v>
      </c>
      <c r="D484" s="21">
        <f t="shared" si="235"/>
        <v>0.2732</v>
      </c>
      <c r="E484" s="21">
        <f t="shared" si="236"/>
        <v>1</v>
      </c>
      <c r="F484" s="21">
        <f t="shared" ref="F484:G484" si="265">+F416</f>
        <v>1.1000000000000001</v>
      </c>
      <c r="G484" s="21">
        <f t="shared" si="265"/>
        <v>1.4732000000000003</v>
      </c>
      <c r="H484" s="264">
        <v>0.1</v>
      </c>
      <c r="I484" s="21">
        <f t="shared" si="238"/>
        <v>0.16391999999999998</v>
      </c>
      <c r="J484" s="21">
        <f t="shared" si="239"/>
        <v>0.40927999999999998</v>
      </c>
      <c r="K484" s="21">
        <f t="shared" si="240"/>
        <v>0.30000000000000049</v>
      </c>
      <c r="L484" s="21">
        <v>0.5</v>
      </c>
    </row>
    <row r="485" spans="2:12">
      <c r="B485" s="90" t="str">
        <f t="shared" si="256"/>
        <v>S9</v>
      </c>
      <c r="C485" s="263" t="str">
        <f t="shared" si="257"/>
        <v>PA-02</v>
      </c>
      <c r="D485" s="21">
        <f t="shared" si="235"/>
        <v>0.2732</v>
      </c>
      <c r="E485" s="21">
        <f t="shared" si="236"/>
        <v>1</v>
      </c>
      <c r="F485" s="21">
        <f t="shared" ref="F485:G485" si="266">+F417</f>
        <v>1.2</v>
      </c>
      <c r="G485" s="21">
        <f t="shared" si="266"/>
        <v>1.5731999999999999</v>
      </c>
      <c r="H485" s="264">
        <v>0.1</v>
      </c>
      <c r="I485" s="21">
        <f t="shared" si="238"/>
        <v>0.16391999999999998</v>
      </c>
      <c r="J485" s="21">
        <f t="shared" si="239"/>
        <v>0.40927999999999998</v>
      </c>
      <c r="K485" s="21">
        <f t="shared" si="240"/>
        <v>0.4</v>
      </c>
      <c r="L485" s="21">
        <v>0.5</v>
      </c>
    </row>
    <row r="486" spans="2:12">
      <c r="B486" s="90" t="str">
        <f t="shared" si="256"/>
        <v>S10</v>
      </c>
      <c r="C486" s="263" t="str">
        <f t="shared" si="257"/>
        <v>PA-02</v>
      </c>
      <c r="D486" s="21">
        <f t="shared" si="235"/>
        <v>0.2732</v>
      </c>
      <c r="E486" s="21">
        <f t="shared" si="236"/>
        <v>1</v>
      </c>
      <c r="F486" s="21">
        <f t="shared" ref="F486:G486" si="267">+F418</f>
        <v>1.1000000000000001</v>
      </c>
      <c r="G486" s="21">
        <f t="shared" si="267"/>
        <v>1.4732000000000003</v>
      </c>
      <c r="H486" s="264">
        <v>0.1</v>
      </c>
      <c r="I486" s="21">
        <f t="shared" si="238"/>
        <v>0.16391999999999998</v>
      </c>
      <c r="J486" s="21">
        <f t="shared" si="239"/>
        <v>0.40927999999999998</v>
      </c>
      <c r="K486" s="21">
        <f t="shared" si="240"/>
        <v>0.30000000000000049</v>
      </c>
      <c r="L486" s="21">
        <v>0.5</v>
      </c>
    </row>
    <row r="487" spans="2:12">
      <c r="B487" s="90" t="str">
        <f t="shared" si="256"/>
        <v>S11</v>
      </c>
      <c r="C487" s="263">
        <f t="shared" si="257"/>
        <v>78059</v>
      </c>
      <c r="D487" s="21">
        <f t="shared" si="235"/>
        <v>0.2732</v>
      </c>
      <c r="E487" s="21">
        <f t="shared" si="236"/>
        <v>1</v>
      </c>
      <c r="F487" s="21">
        <f t="shared" ref="F487:G487" si="268">+F419</f>
        <v>1.03</v>
      </c>
      <c r="G487" s="21">
        <f t="shared" si="268"/>
        <v>1.4032</v>
      </c>
      <c r="H487" s="264">
        <v>0.1</v>
      </c>
      <c r="I487" s="21">
        <f t="shared" si="238"/>
        <v>0.16391999999999998</v>
      </c>
      <c r="J487" s="21">
        <f t="shared" si="239"/>
        <v>0.40927999999999998</v>
      </c>
      <c r="K487" s="21">
        <f t="shared" si="240"/>
        <v>0.23000000000000009</v>
      </c>
      <c r="L487" s="21">
        <v>0.5</v>
      </c>
    </row>
    <row r="488" spans="2:12">
      <c r="B488" s="90" t="str">
        <f t="shared" si="256"/>
        <v>S12</v>
      </c>
      <c r="C488" s="263">
        <f t="shared" si="257"/>
        <v>78059</v>
      </c>
      <c r="D488" s="21">
        <f t="shared" si="235"/>
        <v>0.2732</v>
      </c>
      <c r="E488" s="21">
        <f t="shared" si="236"/>
        <v>1</v>
      </c>
      <c r="F488" s="21">
        <f t="shared" ref="F488:G488" si="269">+F420</f>
        <v>1.05</v>
      </c>
      <c r="G488" s="21">
        <f t="shared" si="269"/>
        <v>1.4232</v>
      </c>
      <c r="H488" s="264">
        <v>0.1</v>
      </c>
      <c r="I488" s="21">
        <f t="shared" si="238"/>
        <v>0.16391999999999998</v>
      </c>
      <c r="J488" s="21">
        <f t="shared" si="239"/>
        <v>0.40927999999999998</v>
      </c>
      <c r="K488" s="21">
        <f t="shared" si="240"/>
        <v>0.25000000000000022</v>
      </c>
      <c r="L488" s="21">
        <v>0.5</v>
      </c>
    </row>
    <row r="489" spans="2:12">
      <c r="B489" s="90" t="str">
        <f t="shared" si="256"/>
        <v>S13</v>
      </c>
      <c r="C489" s="263">
        <f t="shared" si="257"/>
        <v>79319</v>
      </c>
      <c r="D489" s="21">
        <f t="shared" si="235"/>
        <v>0.2732</v>
      </c>
      <c r="E489" s="21">
        <f t="shared" si="236"/>
        <v>1</v>
      </c>
      <c r="F489" s="21">
        <f t="shared" ref="F489:G489" si="270">+F421</f>
        <v>1.2</v>
      </c>
      <c r="G489" s="21">
        <f t="shared" si="270"/>
        <v>1.5731999999999999</v>
      </c>
      <c r="H489" s="264">
        <v>0.1</v>
      </c>
      <c r="I489" s="21">
        <f t="shared" si="238"/>
        <v>0.16391999999999998</v>
      </c>
      <c r="J489" s="21">
        <f t="shared" si="239"/>
        <v>0.40927999999999998</v>
      </c>
      <c r="K489" s="21">
        <f t="shared" si="240"/>
        <v>0.4</v>
      </c>
      <c r="L489" s="21">
        <v>0.5</v>
      </c>
    </row>
    <row r="490" spans="2:12">
      <c r="B490" s="90" t="str">
        <f t="shared" si="256"/>
        <v>S14</v>
      </c>
      <c r="C490" s="263">
        <f t="shared" si="257"/>
        <v>79319</v>
      </c>
      <c r="D490" s="21">
        <f t="shared" si="235"/>
        <v>0.2732</v>
      </c>
      <c r="E490" s="21">
        <f t="shared" si="236"/>
        <v>1</v>
      </c>
      <c r="F490" s="21">
        <f t="shared" ref="F490:G490" si="271">+F422</f>
        <v>1.2</v>
      </c>
      <c r="G490" s="21">
        <f t="shared" si="271"/>
        <v>1.5731999999999999</v>
      </c>
      <c r="H490" s="264">
        <v>0.1</v>
      </c>
      <c r="I490" s="21">
        <f t="shared" si="238"/>
        <v>0.16391999999999998</v>
      </c>
      <c r="J490" s="21">
        <f t="shared" si="239"/>
        <v>0.40927999999999998</v>
      </c>
      <c r="K490" s="21">
        <f t="shared" si="240"/>
        <v>0.4</v>
      </c>
      <c r="L490" s="21">
        <v>0.5</v>
      </c>
    </row>
    <row r="491" spans="2:12">
      <c r="B491" s="90" t="str">
        <f t="shared" si="256"/>
        <v>S15</v>
      </c>
      <c r="C491" s="263">
        <f t="shared" si="257"/>
        <v>78819</v>
      </c>
      <c r="D491" s="21">
        <f t="shared" si="235"/>
        <v>0.2732</v>
      </c>
      <c r="E491" s="21">
        <f t="shared" si="236"/>
        <v>1</v>
      </c>
      <c r="F491" s="21">
        <f t="shared" ref="F491:G491" si="272">+F423</f>
        <v>1.0900000000000001</v>
      </c>
      <c r="G491" s="21">
        <f t="shared" si="272"/>
        <v>1.4632000000000001</v>
      </c>
      <c r="H491" s="264">
        <v>0.1</v>
      </c>
      <c r="I491" s="21">
        <f t="shared" si="238"/>
        <v>0.16391999999999998</v>
      </c>
      <c r="J491" s="21">
        <f t="shared" si="239"/>
        <v>0.40927999999999998</v>
      </c>
      <c r="K491" s="21">
        <f t="shared" si="240"/>
        <v>0.29000000000000026</v>
      </c>
      <c r="L491" s="21">
        <v>0.5</v>
      </c>
    </row>
    <row r="492" spans="2:12">
      <c r="B492" s="90" t="str">
        <f t="shared" si="256"/>
        <v>S16</v>
      </c>
      <c r="C492" s="263">
        <f t="shared" si="257"/>
        <v>78819</v>
      </c>
      <c r="D492" s="21">
        <f t="shared" si="235"/>
        <v>0.2732</v>
      </c>
      <c r="E492" s="21">
        <f t="shared" si="236"/>
        <v>1</v>
      </c>
      <c r="F492" s="21">
        <f t="shared" ref="F492:G492" si="273">+F424</f>
        <v>1.24</v>
      </c>
      <c r="G492" s="21">
        <f t="shared" si="273"/>
        <v>1.6132</v>
      </c>
      <c r="H492" s="264">
        <v>0.1</v>
      </c>
      <c r="I492" s="21">
        <f t="shared" si="238"/>
        <v>0.16391999999999998</v>
      </c>
      <c r="J492" s="21">
        <f t="shared" si="239"/>
        <v>0.40927999999999998</v>
      </c>
      <c r="K492" s="21">
        <f t="shared" si="240"/>
        <v>0.44000000000000006</v>
      </c>
      <c r="L492" s="21">
        <v>0.5</v>
      </c>
    </row>
    <row r="493" spans="2:12">
      <c r="B493" s="90" t="str">
        <f t="shared" si="256"/>
        <v>S17</v>
      </c>
      <c r="C493" s="263">
        <f t="shared" si="257"/>
        <v>78819</v>
      </c>
      <c r="D493" s="21">
        <f t="shared" si="235"/>
        <v>0.2732</v>
      </c>
      <c r="E493" s="21">
        <f t="shared" si="236"/>
        <v>1</v>
      </c>
      <c r="F493" s="21">
        <f t="shared" ref="F493:G493" si="274">+F425</f>
        <v>1.1100000000000001</v>
      </c>
      <c r="G493" s="21">
        <f t="shared" si="274"/>
        <v>1.4832000000000001</v>
      </c>
      <c r="H493" s="264">
        <v>0.1</v>
      </c>
      <c r="I493" s="21">
        <f t="shared" si="238"/>
        <v>0.16391999999999998</v>
      </c>
      <c r="J493" s="21">
        <f t="shared" si="239"/>
        <v>0.40927999999999998</v>
      </c>
      <c r="K493" s="21">
        <f t="shared" si="240"/>
        <v>0.31000000000000028</v>
      </c>
      <c r="L493" s="21">
        <v>0.5</v>
      </c>
    </row>
    <row r="494" spans="2:12">
      <c r="B494" s="90" t="str">
        <f t="shared" si="256"/>
        <v>S18</v>
      </c>
      <c r="C494" s="263">
        <f t="shared" si="257"/>
        <v>78819</v>
      </c>
      <c r="D494" s="21">
        <f t="shared" si="235"/>
        <v>0.2732</v>
      </c>
      <c r="E494" s="21">
        <f t="shared" si="236"/>
        <v>1</v>
      </c>
      <c r="F494" s="21">
        <f t="shared" ref="F494:G494" si="275">+F426</f>
        <v>1.1100000000000001</v>
      </c>
      <c r="G494" s="21">
        <f t="shared" si="275"/>
        <v>1.4832000000000001</v>
      </c>
      <c r="H494" s="264">
        <v>0.1</v>
      </c>
      <c r="I494" s="21">
        <f t="shared" si="238"/>
        <v>0.16391999999999998</v>
      </c>
      <c r="J494" s="21">
        <f t="shared" si="239"/>
        <v>0.40927999999999998</v>
      </c>
      <c r="K494" s="21">
        <f t="shared" si="240"/>
        <v>0.31000000000000028</v>
      </c>
      <c r="L494" s="21">
        <v>0.5</v>
      </c>
    </row>
    <row r="495" spans="2:12">
      <c r="B495" s="90" t="str">
        <f t="shared" si="256"/>
        <v>S19</v>
      </c>
      <c r="C495" s="263">
        <f t="shared" si="257"/>
        <v>78059</v>
      </c>
      <c r="D495" s="21">
        <f t="shared" si="235"/>
        <v>0.2732</v>
      </c>
      <c r="E495" s="21">
        <f t="shared" si="236"/>
        <v>1</v>
      </c>
      <c r="F495" s="21">
        <f t="shared" ref="F495:G495" si="276">+F427</f>
        <v>1.5</v>
      </c>
      <c r="G495" s="21">
        <f t="shared" si="276"/>
        <v>1.8732000000000002</v>
      </c>
      <c r="H495" s="264">
        <v>0.1</v>
      </c>
      <c r="I495" s="21">
        <f t="shared" si="238"/>
        <v>0.16391999999999998</v>
      </c>
      <c r="J495" s="21">
        <f t="shared" si="239"/>
        <v>0.40927999999999998</v>
      </c>
      <c r="K495" s="21">
        <f t="shared" si="240"/>
        <v>0.70000000000000018</v>
      </c>
      <c r="L495" s="21">
        <v>0.5</v>
      </c>
    </row>
    <row r="496" spans="2:12">
      <c r="B496" s="90" t="str">
        <f t="shared" si="256"/>
        <v>S20</v>
      </c>
      <c r="C496" s="263">
        <f t="shared" si="257"/>
        <v>78059</v>
      </c>
      <c r="D496" s="21">
        <f t="shared" si="235"/>
        <v>0.2732</v>
      </c>
      <c r="E496" s="21">
        <f t="shared" si="236"/>
        <v>1</v>
      </c>
      <c r="F496" s="21">
        <f t="shared" ref="F496:G496" si="277">+F428</f>
        <v>1.5</v>
      </c>
      <c r="G496" s="21">
        <f t="shared" si="277"/>
        <v>1.8732000000000002</v>
      </c>
      <c r="H496" s="264">
        <v>0.1</v>
      </c>
      <c r="I496" s="21">
        <f t="shared" si="238"/>
        <v>0.16391999999999998</v>
      </c>
      <c r="J496" s="21">
        <f t="shared" si="239"/>
        <v>0.40927999999999998</v>
      </c>
      <c r="K496" s="21">
        <f t="shared" si="240"/>
        <v>0.70000000000000018</v>
      </c>
      <c r="L496" s="21">
        <v>0.5</v>
      </c>
    </row>
    <row r="498" spans="10:21">
      <c r="N498" s="72"/>
      <c r="O498" s="72"/>
      <c r="P498" s="72"/>
      <c r="Q498" s="72"/>
      <c r="R498" s="72"/>
      <c r="S498" s="72"/>
      <c r="T498" s="72"/>
      <c r="U498" s="72"/>
    </row>
    <row r="499" spans="10:21">
      <c r="J499" s="160"/>
      <c r="K499" s="160"/>
      <c r="L499" s="160"/>
      <c r="M499" s="160"/>
    </row>
    <row r="500" spans="10:21">
      <c r="J500" s="160"/>
      <c r="K500" s="160"/>
      <c r="L500" s="160"/>
      <c r="M500" s="160"/>
    </row>
    <row r="501" spans="10:21">
      <c r="J501" s="160"/>
      <c r="K501" s="160"/>
      <c r="L501" s="160"/>
      <c r="M501" s="160"/>
    </row>
  </sheetData>
  <autoFilter ref="D457:J496" xr:uid="{9E375D66-0000-4ADA-9A69-0098EF5237E6}"/>
  <mergeCells count="51">
    <mergeCell ref="P222:Q222"/>
    <mergeCell ref="R222:S222"/>
    <mergeCell ref="U222:V222"/>
    <mergeCell ref="W222:X222"/>
    <mergeCell ref="Y222:Z222"/>
    <mergeCell ref="A387:M387"/>
    <mergeCell ref="B262:L262"/>
    <mergeCell ref="C309:K309"/>
    <mergeCell ref="D363:J363"/>
    <mergeCell ref="D408:I408"/>
    <mergeCell ref="D389:D390"/>
    <mergeCell ref="E389:E390"/>
    <mergeCell ref="F389:F390"/>
    <mergeCell ref="G389:G390"/>
    <mergeCell ref="H389:H390"/>
    <mergeCell ref="I389:I390"/>
    <mergeCell ref="T156:AA156"/>
    <mergeCell ref="A216:M216"/>
    <mergeCell ref="A220:M221"/>
    <mergeCell ref="B243:B244"/>
    <mergeCell ref="C243:C244"/>
    <mergeCell ref="D243:D244"/>
    <mergeCell ref="E243:E244"/>
    <mergeCell ref="F243:F244"/>
    <mergeCell ref="I243:I244"/>
    <mergeCell ref="J243:J244"/>
    <mergeCell ref="S156:S157"/>
    <mergeCell ref="B194:L194"/>
    <mergeCell ref="K243:K244"/>
    <mergeCell ref="N217:S217"/>
    <mergeCell ref="U217:Z217"/>
    <mergeCell ref="N222:O222"/>
    <mergeCell ref="A2:M2"/>
    <mergeCell ref="A3:M3"/>
    <mergeCell ref="A4:M4"/>
    <mergeCell ref="C97:C99"/>
    <mergeCell ref="A143:M144"/>
    <mergeCell ref="B59:L59"/>
    <mergeCell ref="B119:L119"/>
    <mergeCell ref="G457:G458"/>
    <mergeCell ref="F457:F458"/>
    <mergeCell ref="E457:E458"/>
    <mergeCell ref="D457:D458"/>
    <mergeCell ref="B476:L476"/>
    <mergeCell ref="K457:K458"/>
    <mergeCell ref="L457:L458"/>
    <mergeCell ref="B457:B458"/>
    <mergeCell ref="C457:C458"/>
    <mergeCell ref="H457:H458"/>
    <mergeCell ref="I457:I458"/>
    <mergeCell ref="J457:J458"/>
  </mergeCells>
  <conditionalFormatting sqref="L177:L193 L195:L214">
    <cfRule type="cellIs" dxfId="10" priority="1" stopIfTrue="1" operator="greaterThanOrEqual">
      <formula>5</formula>
    </cfRule>
  </conditionalFormatting>
  <printOptions horizontalCentered="1"/>
  <pageMargins left="0.78740157480314965" right="0.78740157480314965" top="1.1811023622047245" bottom="1.1811023622047245" header="0.78740157480314965" footer="0.78740157480314965"/>
  <pageSetup scale="59" fitToHeight="0" orientation="portrait" r:id="rId1"/>
  <rowBreaks count="6" manualBreakCount="6">
    <brk id="80" max="12" man="1"/>
    <brk id="140" max="12" man="1"/>
    <brk id="217" max="12" man="1"/>
    <brk id="283" max="12" man="1"/>
    <brk id="362" max="12" man="1"/>
    <brk id="429" max="12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602C1-B28B-49D5-A451-54E6D4B0B316}">
  <sheetPr>
    <tabColor theme="6" tint="0.39997558519241921"/>
    <pageSetUpPr fitToPage="1"/>
  </sheetPr>
  <dimension ref="A2:IF229"/>
  <sheetViews>
    <sheetView view="pageBreakPreview" zoomScale="90" zoomScaleNormal="90" zoomScaleSheetLayoutView="90" workbookViewId="0">
      <selection activeCell="H7" sqref="H7"/>
    </sheetView>
  </sheetViews>
  <sheetFormatPr baseColWidth="10" defaultColWidth="11.42578125" defaultRowHeight="12"/>
  <cols>
    <col min="1" max="2" width="9.140625" style="17" customWidth="1"/>
    <col min="3" max="3" width="9.5703125" style="17" customWidth="1"/>
    <col min="4" max="4" width="9.28515625" style="17" customWidth="1"/>
    <col min="5" max="5" width="14" style="17" customWidth="1"/>
    <col min="6" max="6" width="12.140625" style="17" customWidth="1"/>
    <col min="7" max="7" width="13.85546875" style="17" customWidth="1"/>
    <col min="8" max="8" width="12.7109375" style="17" customWidth="1"/>
    <col min="9" max="9" width="12.85546875" style="17" customWidth="1"/>
    <col min="10" max="10" width="11" style="17" customWidth="1"/>
    <col min="11" max="11" width="12.7109375" style="17" customWidth="1"/>
    <col min="12" max="12" width="12.5703125" style="17" customWidth="1"/>
    <col min="13" max="13" width="12.85546875" style="17" customWidth="1"/>
    <col min="14" max="14" width="11.42578125" style="17"/>
    <col min="15" max="16" width="11.85546875" style="17" bestFit="1" customWidth="1"/>
    <col min="17" max="17" width="11.85546875" style="17" customWidth="1"/>
    <col min="18" max="18" width="11.85546875" style="17" bestFit="1" customWidth="1"/>
    <col min="19" max="19" width="16.28515625" style="17" bestFit="1" customWidth="1"/>
    <col min="20" max="20" width="11.85546875" style="17" bestFit="1" customWidth="1"/>
    <col min="21" max="21" width="15.140625" style="17" customWidth="1"/>
    <col min="22" max="22" width="11.5703125" style="17" bestFit="1" customWidth="1"/>
    <col min="23" max="23" width="15" style="17" customWidth="1"/>
    <col min="24" max="24" width="11.5703125" style="17" bestFit="1" customWidth="1"/>
    <col min="25" max="16384" width="11.42578125" style="17"/>
  </cols>
  <sheetData>
    <row r="2" spans="1:13" ht="12.75" customHeight="1">
      <c r="A2" s="302" t="s">
        <v>236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3" spans="1:13" s="56" customFormat="1" ht="12.75" customHeight="1">
      <c r="A3" s="303" t="s">
        <v>338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</row>
    <row r="5" spans="1:13">
      <c r="A5" s="19" t="s">
        <v>78</v>
      </c>
    </row>
    <row r="7" spans="1:13">
      <c r="A7" s="19" t="s">
        <v>0</v>
      </c>
    </row>
    <row r="8" spans="1:13">
      <c r="A8" s="19"/>
    </row>
    <row r="9" spans="1:13">
      <c r="A9" s="19" t="s">
        <v>1</v>
      </c>
    </row>
    <row r="10" spans="1:13" ht="12.75" customHeight="1"/>
    <row r="11" spans="1:13" ht="12.75" customHeight="1"/>
    <row r="12" spans="1:13" ht="12.75" customHeight="1"/>
    <row r="13" spans="1:13">
      <c r="E13" s="20"/>
      <c r="F13" s="20"/>
      <c r="G13" s="18"/>
    </row>
    <row r="14" spans="1:13">
      <c r="D14" s="17" t="s">
        <v>2</v>
      </c>
    </row>
    <row r="15" spans="1:13">
      <c r="E15" s="20"/>
      <c r="F15" s="20"/>
      <c r="G15" s="18"/>
    </row>
    <row r="16" spans="1:13">
      <c r="E16" s="20"/>
      <c r="F16" s="20"/>
      <c r="G16" s="18"/>
    </row>
    <row r="17" spans="1:15">
      <c r="E17" s="20"/>
      <c r="F17" s="20"/>
      <c r="G17" s="18"/>
    </row>
    <row r="18" spans="1:15">
      <c r="E18" s="20"/>
      <c r="F18" s="20"/>
      <c r="G18" s="18"/>
    </row>
    <row r="19" spans="1:15">
      <c r="E19" s="20"/>
      <c r="F19" s="20"/>
      <c r="G19" s="18"/>
    </row>
    <row r="20" spans="1:15">
      <c r="E20" s="20"/>
      <c r="F20" s="20"/>
      <c r="G20" s="18"/>
    </row>
    <row r="21" spans="1:15">
      <c r="E21" s="20"/>
      <c r="F21" s="20"/>
      <c r="G21" s="18"/>
    </row>
    <row r="22" spans="1:15">
      <c r="E22" s="20"/>
      <c r="F22" s="20"/>
      <c r="G22" s="18"/>
    </row>
    <row r="23" spans="1:15" ht="7.5" customHeight="1">
      <c r="E23" s="20"/>
      <c r="F23" s="20"/>
      <c r="G23" s="18"/>
    </row>
    <row r="25" spans="1:15">
      <c r="A25" s="19" t="s">
        <v>3</v>
      </c>
      <c r="G25" s="18"/>
    </row>
    <row r="26" spans="1:15">
      <c r="G26" s="18"/>
    </row>
    <row r="27" spans="1:15">
      <c r="G27" s="18"/>
    </row>
    <row r="28" spans="1:15">
      <c r="G28" s="18"/>
    </row>
    <row r="29" spans="1:15">
      <c r="E29" s="20"/>
      <c r="F29" s="20"/>
      <c r="G29" s="18"/>
    </row>
    <row r="30" spans="1:15">
      <c r="D30" s="17" t="s">
        <v>2</v>
      </c>
      <c r="G30" s="18"/>
      <c r="N30" s="29"/>
      <c r="O30" s="29"/>
    </row>
    <row r="31" spans="1:15">
      <c r="G31" s="18"/>
      <c r="N31" s="29"/>
      <c r="O31" s="29"/>
    </row>
    <row r="32" spans="1:15">
      <c r="E32" s="20"/>
      <c r="F32" s="20"/>
      <c r="G32" s="18"/>
      <c r="N32" s="29"/>
      <c r="O32" s="29"/>
    </row>
    <row r="33" spans="1:22" ht="18.75" customHeight="1">
      <c r="E33" s="22"/>
      <c r="F33" s="22"/>
      <c r="G33" s="18"/>
      <c r="N33" s="29"/>
      <c r="O33" s="29"/>
    </row>
    <row r="34" spans="1:22">
      <c r="A34" s="17" t="s">
        <v>4</v>
      </c>
      <c r="N34" s="29"/>
      <c r="O34" s="29"/>
    </row>
    <row r="35" spans="1:22" ht="16.5" customHeight="1">
      <c r="N35" s="29"/>
      <c r="O35" s="29"/>
    </row>
    <row r="36" spans="1:22">
      <c r="C36" s="23" t="s">
        <v>96</v>
      </c>
      <c r="D36" s="41">
        <v>30</v>
      </c>
      <c r="E36" s="130"/>
      <c r="F36" s="131" t="s">
        <v>97</v>
      </c>
      <c r="G36" s="132">
        <f>D36*PI()/180</f>
        <v>0.52359877559829882</v>
      </c>
      <c r="K36" s="26"/>
    </row>
    <row r="37" spans="1:22" ht="13.5">
      <c r="C37" s="27" t="s">
        <v>5</v>
      </c>
      <c r="D37" s="132">
        <f>(TAN(PI()/4-G36/2))^2</f>
        <v>0.33333333333333343</v>
      </c>
      <c r="E37" s="130"/>
      <c r="F37" s="131" t="s">
        <v>98</v>
      </c>
      <c r="G37" s="54">
        <v>20</v>
      </c>
      <c r="K37" s="26"/>
    </row>
    <row r="38" spans="1:22">
      <c r="C38" s="23" t="s">
        <v>99</v>
      </c>
      <c r="D38" s="25">
        <f>TAN(G36)</f>
        <v>0.57735026918962573</v>
      </c>
      <c r="E38" s="24"/>
      <c r="K38" s="26"/>
    </row>
    <row r="40" spans="1:22" s="31" customFormat="1" ht="33.75" customHeight="1">
      <c r="A40" s="168"/>
      <c r="B40" s="138" t="s">
        <v>128</v>
      </c>
      <c r="C40" s="186" t="s">
        <v>129</v>
      </c>
      <c r="D40" s="186" t="s">
        <v>130</v>
      </c>
      <c r="E40" s="186" t="s">
        <v>209</v>
      </c>
      <c r="F40" s="186" t="s">
        <v>208</v>
      </c>
      <c r="G40" s="186" t="s">
        <v>223</v>
      </c>
      <c r="H40" s="186" t="s">
        <v>207</v>
      </c>
      <c r="I40" s="186" t="s">
        <v>205</v>
      </c>
      <c r="J40" s="185" t="s">
        <v>10</v>
      </c>
      <c r="K40" s="186" t="s">
        <v>206</v>
      </c>
      <c r="L40" s="186" t="s">
        <v>202</v>
      </c>
      <c r="O40" s="138" t="s">
        <v>203</v>
      </c>
      <c r="P40" s="182" t="s">
        <v>11</v>
      </c>
      <c r="Q40" s="137" t="s">
        <v>12</v>
      </c>
      <c r="R40" s="184"/>
      <c r="S40" s="179"/>
      <c r="V40" s="17"/>
    </row>
    <row r="41" spans="1:22" ht="13.5" customHeight="1">
      <c r="A41" s="169"/>
      <c r="B41" s="55" t="s">
        <v>155</v>
      </c>
      <c r="C41" s="178" t="s">
        <v>297</v>
      </c>
      <c r="D41" s="53">
        <v>8.5</v>
      </c>
      <c r="E41" s="55">
        <v>10</v>
      </c>
      <c r="F41" s="134">
        <f>+INDEX(Especificaciones!$C$5:$C$25,MATCH('Flexible - D P15'!O41,Especificaciones!$B$5:$B$25,-1))</f>
        <v>0.2732</v>
      </c>
      <c r="G41" s="231" t="s">
        <v>321</v>
      </c>
      <c r="H41" s="231">
        <v>1.4</v>
      </c>
      <c r="I41" s="53">
        <v>1</v>
      </c>
      <c r="J41" s="32">
        <f>IF(I41&gt;=2*F41,H41/F41,(1-EXP(-2*$D$37*$D$38*H41/I41))/(2*$D$37*$D$38))</f>
        <v>5.1244509516837482</v>
      </c>
      <c r="K41" s="135">
        <f t="shared" ref="K41:K43" si="0">IF(I41&gt;=2*F41,J41*$G$37*F41^2,J41*$G$37*I41*F41)</f>
        <v>7.6495999999999995</v>
      </c>
      <c r="L41" s="135" t="s">
        <v>17</v>
      </c>
      <c r="N41" s="38"/>
      <c r="O41" s="55">
        <v>250</v>
      </c>
      <c r="P41" s="21">
        <f>+F41+H41+0.1</f>
        <v>1.7732000000000001</v>
      </c>
      <c r="Q41" s="21">
        <f>P41*1.5</f>
        <v>2.6598000000000002</v>
      </c>
      <c r="R41" s="13"/>
      <c r="S41" s="14"/>
      <c r="T41" s="29"/>
      <c r="U41" s="14"/>
      <c r="V41" s="29"/>
    </row>
    <row r="42" spans="1:22" ht="13.5" customHeight="1">
      <c r="A42" s="169"/>
      <c r="B42" s="55" t="s">
        <v>156</v>
      </c>
      <c r="C42" s="178">
        <v>79268</v>
      </c>
      <c r="D42" s="53">
        <v>7.2</v>
      </c>
      <c r="E42" s="55">
        <v>10</v>
      </c>
      <c r="F42" s="134">
        <f>+INDEX(Especificaciones!$C$5:$C$25,MATCH('Flexible - D P15'!O42,Especificaciones!$B$5:$B$25,-1))</f>
        <v>0.2732</v>
      </c>
      <c r="G42" s="231" t="s">
        <v>322</v>
      </c>
      <c r="H42" s="231">
        <v>1.1599999999999999</v>
      </c>
      <c r="I42" s="53">
        <v>1</v>
      </c>
      <c r="J42" s="32">
        <f t="shared" ref="J42:J43" si="1">IF(I42&gt;=2*F42,H42/F42,(1-EXP(-2*$D$37*$D$38*H42/I42))/(2*$D$37*$D$38))</f>
        <v>4.2459736456808193</v>
      </c>
      <c r="K42" s="135">
        <f t="shared" si="0"/>
        <v>6.338239999999999</v>
      </c>
      <c r="L42" s="135" t="s">
        <v>17</v>
      </c>
      <c r="N42" s="38"/>
      <c r="O42" s="55">
        <v>250</v>
      </c>
      <c r="P42" s="21">
        <f t="shared" ref="P42:P44" si="2">+F42+H42+0.1</f>
        <v>1.5331999999999999</v>
      </c>
      <c r="Q42" s="21">
        <f t="shared" ref="Q42:Q44" si="3">P42*1.5</f>
        <v>2.2997999999999998</v>
      </c>
      <c r="R42" s="13"/>
      <c r="S42" s="14"/>
      <c r="T42" s="29"/>
      <c r="U42" s="14"/>
      <c r="V42" s="29"/>
    </row>
    <row r="43" spans="1:22" ht="13.5" customHeight="1">
      <c r="A43" s="169"/>
      <c r="B43" s="55" t="s">
        <v>312</v>
      </c>
      <c r="C43" s="178" t="s">
        <v>313</v>
      </c>
      <c r="D43" s="53">
        <v>7.3</v>
      </c>
      <c r="E43" s="55">
        <v>10</v>
      </c>
      <c r="F43" s="134">
        <f>+INDEX(Especificaciones!$C$5:$C$25,MATCH('Flexible - D P15'!O43,Especificaciones!$B$5:$B$25,-1))</f>
        <v>0.2732</v>
      </c>
      <c r="G43" s="231">
        <v>2749.39</v>
      </c>
      <c r="H43" s="231">
        <v>1.1499999999999999</v>
      </c>
      <c r="I43" s="53">
        <v>1</v>
      </c>
      <c r="J43" s="32">
        <f t="shared" si="1"/>
        <v>4.2093704245973642</v>
      </c>
      <c r="K43" s="135">
        <f t="shared" si="0"/>
        <v>6.283599999999999</v>
      </c>
      <c r="L43" s="135" t="s">
        <v>17</v>
      </c>
      <c r="N43" s="38"/>
      <c r="O43" s="55">
        <v>250</v>
      </c>
      <c r="P43" s="21">
        <f t="shared" si="2"/>
        <v>1.5232000000000001</v>
      </c>
      <c r="Q43" s="21">
        <f t="shared" si="3"/>
        <v>2.2848000000000002</v>
      </c>
      <c r="R43" s="13"/>
      <c r="S43" s="14"/>
      <c r="T43" s="29"/>
      <c r="U43" s="14"/>
      <c r="V43" s="29"/>
    </row>
    <row r="44" spans="1:22" ht="13.5" customHeight="1">
      <c r="A44" s="169"/>
      <c r="B44" s="55" t="s">
        <v>313</v>
      </c>
      <c r="C44" s="55" t="s">
        <v>155</v>
      </c>
      <c r="D44" s="53">
        <v>4.8</v>
      </c>
      <c r="E44" s="55">
        <v>10</v>
      </c>
      <c r="F44" s="134">
        <f>+INDEX(Especificaciones!$C$5:$C$25,MATCH('Flexible - D P15'!O44,Especificaciones!$B$5:$B$25,-1))</f>
        <v>0.2732</v>
      </c>
      <c r="G44" s="231">
        <v>2749.09</v>
      </c>
      <c r="H44" s="231">
        <v>1.3</v>
      </c>
      <c r="I44" s="53">
        <v>1</v>
      </c>
      <c r="J44" s="32">
        <f t="shared" ref="J44" si="4">IF(I44&gt;=2*F44,H44/F44,(1-EXP(-2*$D$37*$D$38*H44/I44))/(2*$D$37*$D$38))</f>
        <v>4.7584187408491951</v>
      </c>
      <c r="K44" s="135">
        <f t="shared" ref="K44" si="5">IF(I44&gt;=2*F44,J44*$G$37*F44^2,J44*$G$37*I44*F44)</f>
        <v>7.1032000000000002</v>
      </c>
      <c r="L44" s="135" t="s">
        <v>17</v>
      </c>
      <c r="N44" s="38"/>
      <c r="O44" s="55">
        <v>250</v>
      </c>
      <c r="P44" s="21">
        <f t="shared" si="2"/>
        <v>1.6732</v>
      </c>
      <c r="Q44" s="21">
        <f t="shared" si="3"/>
        <v>2.5098000000000003</v>
      </c>
      <c r="R44" s="13"/>
      <c r="S44" s="14"/>
      <c r="T44" s="29"/>
      <c r="U44" s="14"/>
      <c r="V44" s="29"/>
    </row>
    <row r="45" spans="1:22">
      <c r="A45" s="181"/>
      <c r="B45" s="181"/>
      <c r="C45" s="35"/>
      <c r="D45" s="71"/>
      <c r="E45" s="36"/>
      <c r="F45" s="35"/>
      <c r="H45" s="35"/>
      <c r="I45" s="35"/>
      <c r="J45" s="60"/>
      <c r="K45" s="36"/>
      <c r="L45" s="36"/>
      <c r="M45" s="37"/>
      <c r="N45" s="38"/>
      <c r="O45" s="55"/>
      <c r="P45" s="21"/>
      <c r="Q45" s="21"/>
    </row>
    <row r="46" spans="1:22">
      <c r="A46" s="19" t="s">
        <v>18</v>
      </c>
      <c r="B46" s="39"/>
      <c r="C46" s="19"/>
      <c r="D46" s="19"/>
      <c r="E46" s="19"/>
      <c r="F46" s="19"/>
      <c r="G46" s="19"/>
      <c r="H46" s="19"/>
      <c r="I46" s="19"/>
      <c r="J46" s="19"/>
      <c r="K46" s="19"/>
      <c r="L46" s="19"/>
    </row>
    <row r="47" spans="1:22">
      <c r="A47" s="19"/>
      <c r="B47" s="19"/>
      <c r="C47" s="19"/>
      <c r="D47" s="19"/>
      <c r="E47" s="40"/>
      <c r="F47" s="20"/>
      <c r="G47" s="40"/>
      <c r="H47" s="19"/>
      <c r="I47" s="19"/>
      <c r="J47" s="19"/>
      <c r="K47" s="19"/>
      <c r="L47" s="19"/>
    </row>
    <row r="48" spans="1:22">
      <c r="A48" s="19"/>
      <c r="B48" s="19"/>
      <c r="C48" s="19"/>
      <c r="H48" s="19"/>
      <c r="I48" s="19"/>
      <c r="J48" s="19"/>
      <c r="K48" s="19"/>
      <c r="L48" s="19"/>
      <c r="O48" s="29"/>
    </row>
    <row r="49" spans="1:26">
      <c r="A49" s="19"/>
      <c r="B49" s="19"/>
      <c r="C49" s="19"/>
      <c r="H49" s="19"/>
      <c r="I49" s="19"/>
      <c r="J49" s="19"/>
      <c r="K49" s="19"/>
      <c r="L49" s="19"/>
    </row>
    <row r="50" spans="1:26">
      <c r="B50" s="19"/>
      <c r="C50" s="19"/>
      <c r="H50" s="19"/>
      <c r="I50" s="19"/>
      <c r="J50" s="19"/>
      <c r="K50" s="19"/>
      <c r="L50" s="19"/>
    </row>
    <row r="51" spans="1:26" s="31" customFormat="1" ht="11.25" customHeight="1">
      <c r="A51" s="19"/>
      <c r="B51" s="19"/>
      <c r="C51" s="19"/>
      <c r="D51" s="17" t="s">
        <v>2</v>
      </c>
      <c r="E51" s="19"/>
      <c r="F51" s="19"/>
      <c r="G51" s="19"/>
      <c r="H51" s="19"/>
      <c r="I51" s="19"/>
      <c r="J51" s="19"/>
      <c r="K51" s="19"/>
      <c r="L51" s="19"/>
      <c r="M51" s="17"/>
      <c r="N51" s="17"/>
      <c r="P51" s="17"/>
      <c r="Q51" s="17"/>
      <c r="R51" s="17"/>
      <c r="S51" s="17"/>
      <c r="T51" s="17"/>
      <c r="U51" s="17"/>
      <c r="W51" s="17"/>
      <c r="X51" s="17"/>
      <c r="Y51" s="17"/>
      <c r="Z51" s="17"/>
    </row>
    <row r="52" spans="1:26" s="31" customFormat="1" ht="16.5" customHeight="1">
      <c r="A52" s="19"/>
      <c r="B52" s="19"/>
      <c r="C52" s="19"/>
      <c r="D52" s="17"/>
      <c r="E52" s="40"/>
      <c r="F52" s="40"/>
      <c r="G52" s="40"/>
      <c r="H52" s="19"/>
      <c r="I52" s="19"/>
      <c r="J52" s="19"/>
      <c r="K52" s="19"/>
      <c r="L52" s="19"/>
      <c r="M52" s="17"/>
      <c r="N52" s="17"/>
      <c r="P52" s="17"/>
      <c r="Q52" s="17"/>
      <c r="R52" s="17"/>
      <c r="S52" s="17"/>
      <c r="T52" s="17"/>
      <c r="U52" s="17"/>
      <c r="W52" s="17"/>
      <c r="X52" s="17"/>
      <c r="Y52" s="17"/>
      <c r="Z52" s="17"/>
    </row>
    <row r="53" spans="1:26" s="31" customFormat="1" ht="18.75" customHeight="1">
      <c r="A53" s="19"/>
      <c r="B53" s="19"/>
      <c r="C53" s="19"/>
      <c r="D53" s="17"/>
      <c r="E53" s="40"/>
      <c r="F53" s="40"/>
      <c r="G53" s="40"/>
      <c r="H53" s="19"/>
      <c r="I53" s="19"/>
      <c r="J53" s="19"/>
      <c r="K53" s="19"/>
      <c r="L53" s="19"/>
      <c r="M53" s="17"/>
      <c r="N53" s="17"/>
      <c r="P53" s="17"/>
      <c r="Q53" s="17"/>
      <c r="R53" s="17"/>
      <c r="S53" s="17"/>
      <c r="T53" s="17"/>
      <c r="U53" s="17"/>
      <c r="W53" s="17"/>
      <c r="X53" s="17"/>
      <c r="Y53" s="17"/>
      <c r="Z53" s="17"/>
    </row>
    <row r="54" spans="1:26" s="31" customFormat="1" ht="18.75" customHeight="1">
      <c r="A54" s="19"/>
      <c r="B54" s="19"/>
      <c r="C54" s="19"/>
      <c r="D54" s="17"/>
      <c r="E54" s="40"/>
      <c r="F54" s="40"/>
      <c r="G54" s="40"/>
      <c r="H54" s="19"/>
      <c r="I54" s="19"/>
      <c r="J54" s="19"/>
      <c r="K54" s="19"/>
      <c r="L54" s="19"/>
      <c r="M54" s="17"/>
      <c r="N54" s="17"/>
      <c r="P54" s="17"/>
      <c r="Q54" s="17"/>
      <c r="R54" s="17"/>
      <c r="S54" s="17"/>
      <c r="T54" s="17"/>
      <c r="U54" s="17"/>
      <c r="W54" s="17"/>
      <c r="X54" s="17"/>
      <c r="Y54" s="17"/>
      <c r="Z54" s="17"/>
    </row>
    <row r="55" spans="1:26" s="31" customFormat="1" ht="12.75" customHeight="1">
      <c r="A55" s="19"/>
      <c r="B55" s="19"/>
      <c r="C55" s="19"/>
      <c r="D55" s="19"/>
      <c r="E55" s="40"/>
      <c r="F55" s="40"/>
      <c r="G55" s="40"/>
      <c r="H55" s="19"/>
      <c r="I55" s="19"/>
      <c r="J55" s="19"/>
      <c r="K55" s="19"/>
      <c r="L55" s="19"/>
      <c r="M55" s="17"/>
      <c r="N55" s="17"/>
      <c r="P55" s="17"/>
      <c r="Q55" s="17"/>
      <c r="R55" s="17"/>
      <c r="S55" s="17"/>
      <c r="T55" s="17"/>
      <c r="U55" s="17"/>
      <c r="W55" s="17"/>
      <c r="X55" s="17"/>
      <c r="Y55" s="17"/>
      <c r="Z55" s="17"/>
    </row>
    <row r="56" spans="1:26" s="31" customFormat="1" ht="15" customHeight="1">
      <c r="A56" s="19"/>
      <c r="B56" s="19"/>
      <c r="C56" s="19"/>
      <c r="D56" s="19"/>
      <c r="E56" s="40"/>
      <c r="F56" s="40"/>
      <c r="G56" s="40"/>
      <c r="H56" s="19"/>
      <c r="I56" s="19"/>
      <c r="J56" s="19"/>
      <c r="K56" s="19"/>
      <c r="L56" s="19"/>
      <c r="M56" s="17"/>
      <c r="N56" s="17"/>
      <c r="P56" s="17"/>
      <c r="Q56" s="17"/>
      <c r="R56" s="17"/>
      <c r="S56" s="17"/>
      <c r="T56" s="17"/>
      <c r="U56" s="17"/>
      <c r="W56" s="17"/>
      <c r="X56" s="17"/>
      <c r="Y56" s="17"/>
      <c r="Z56" s="17"/>
    </row>
    <row r="57" spans="1:26" ht="7.5" customHeight="1">
      <c r="A57" s="19"/>
      <c r="B57" s="19"/>
      <c r="C57" s="19"/>
      <c r="D57" s="19"/>
      <c r="E57" s="40"/>
      <c r="F57" s="40"/>
      <c r="G57" s="40"/>
      <c r="H57" s="19"/>
      <c r="I57" s="19"/>
      <c r="J57" s="19"/>
      <c r="K57" s="19"/>
      <c r="L57" s="19"/>
      <c r="M57" s="19"/>
    </row>
    <row r="58" spans="1:26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</row>
    <row r="59" spans="1:26">
      <c r="A59" s="17" t="s">
        <v>19</v>
      </c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</row>
    <row r="60" spans="1:26"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</row>
    <row r="61" spans="1:26">
      <c r="C61" s="139" t="s">
        <v>20</v>
      </c>
      <c r="D61" s="41">
        <v>80</v>
      </c>
      <c r="F61" s="19"/>
      <c r="G61" s="19"/>
      <c r="H61" s="19"/>
      <c r="I61" s="19"/>
      <c r="J61" s="19"/>
      <c r="K61" s="19"/>
      <c r="L61" s="19"/>
      <c r="M61" s="19"/>
    </row>
    <row r="62" spans="1:26">
      <c r="C62" s="295" t="s">
        <v>21</v>
      </c>
      <c r="D62" s="4">
        <v>1.2</v>
      </c>
      <c r="E62" s="1" t="s">
        <v>174</v>
      </c>
      <c r="F62" s="19"/>
      <c r="G62" s="19"/>
      <c r="H62" s="19"/>
      <c r="I62" s="19"/>
      <c r="J62" s="19"/>
      <c r="K62" s="19"/>
      <c r="L62" s="19"/>
      <c r="M62" s="19"/>
    </row>
    <row r="63" spans="1:26">
      <c r="C63" s="296"/>
      <c r="D63" s="4">
        <v>1.1000000000000001</v>
      </c>
      <c r="E63" s="1" t="s">
        <v>22</v>
      </c>
      <c r="F63" s="19"/>
      <c r="G63" s="19"/>
      <c r="H63" s="19"/>
      <c r="I63" s="19"/>
      <c r="J63" s="19"/>
      <c r="K63" s="19"/>
      <c r="L63" s="19"/>
      <c r="M63" s="19"/>
    </row>
    <row r="64" spans="1:26">
      <c r="C64" s="297"/>
      <c r="D64" s="42">
        <v>1</v>
      </c>
      <c r="E64" s="1" t="s">
        <v>175</v>
      </c>
      <c r="M64" s="19"/>
    </row>
    <row r="65" spans="1:26">
      <c r="M65" s="19"/>
    </row>
    <row r="66" spans="1:26" s="31" customFormat="1" ht="28.5" customHeight="1">
      <c r="A66" s="168"/>
      <c r="B66" s="138" t="str">
        <f>B$40</f>
        <v>Pozo de</v>
      </c>
      <c r="C66" s="186" t="str">
        <f>C$40</f>
        <v>Pozo a</v>
      </c>
      <c r="D66" s="186" t="s">
        <v>130</v>
      </c>
      <c r="E66" s="186" t="s">
        <v>209</v>
      </c>
      <c r="F66" s="186" t="s">
        <v>204</v>
      </c>
      <c r="G66" s="185" t="s">
        <v>134</v>
      </c>
      <c r="H66" s="186" t="s">
        <v>205</v>
      </c>
      <c r="I66" s="186" t="s">
        <v>224</v>
      </c>
      <c r="J66" s="186" t="s">
        <v>225</v>
      </c>
      <c r="K66" s="186" t="s">
        <v>210</v>
      </c>
      <c r="L66" s="186" t="s">
        <v>211</v>
      </c>
      <c r="N66" s="183" t="s">
        <v>23</v>
      </c>
      <c r="W66" s="17"/>
      <c r="X66" s="17"/>
    </row>
    <row r="67" spans="1:26" s="74" customFormat="1" ht="12" customHeight="1">
      <c r="A67" s="169"/>
      <c r="B67" s="140" t="str">
        <f t="shared" ref="B67:F68" si="6">+B41</f>
        <v>PV-05</v>
      </c>
      <c r="C67" s="140" t="str">
        <f t="shared" si="6"/>
        <v xml:space="preserve">PV-06 </v>
      </c>
      <c r="D67" s="135">
        <f t="shared" si="6"/>
        <v>8.5</v>
      </c>
      <c r="E67" s="95">
        <f t="shared" si="6"/>
        <v>10</v>
      </c>
      <c r="F67" s="135">
        <f t="shared" si="6"/>
        <v>0.2732</v>
      </c>
      <c r="G67" s="135">
        <f t="shared" ref="G67:H70" si="7">+H41</f>
        <v>1.4</v>
      </c>
      <c r="H67" s="135">
        <f t="shared" si="7"/>
        <v>1</v>
      </c>
      <c r="I67" s="135">
        <f>0.5+1.75*G67</f>
        <v>2.9499999999999997</v>
      </c>
      <c r="J67" s="135">
        <f>0.25+1.75*G67</f>
        <v>2.6999999999999997</v>
      </c>
      <c r="K67" s="135">
        <f>I67+1.75*(3*F67/4)</f>
        <v>3.3085749999999998</v>
      </c>
      <c r="L67" s="96">
        <f>$D$61*CHOOSE(N67,$D$62,$D$63,$D$64)/K67</f>
        <v>24.179593933944375</v>
      </c>
      <c r="M67" s="17"/>
      <c r="N67" s="75">
        <f>IF(G67&lt;0.6,1,IF(G67&lt;0.91,2,3))</f>
        <v>3</v>
      </c>
    </row>
    <row r="68" spans="1:26" s="74" customFormat="1" ht="12" customHeight="1">
      <c r="A68" s="169"/>
      <c r="B68" s="140" t="str">
        <f t="shared" si="6"/>
        <v>PV-06</v>
      </c>
      <c r="C68" s="140">
        <f t="shared" si="6"/>
        <v>79268</v>
      </c>
      <c r="D68" s="135">
        <f t="shared" si="6"/>
        <v>7.2</v>
      </c>
      <c r="E68" s="95">
        <f t="shared" si="6"/>
        <v>10</v>
      </c>
      <c r="F68" s="135">
        <f t="shared" si="6"/>
        <v>0.2732</v>
      </c>
      <c r="G68" s="135">
        <f t="shared" si="7"/>
        <v>1.1599999999999999</v>
      </c>
      <c r="H68" s="135">
        <f t="shared" si="7"/>
        <v>1</v>
      </c>
      <c r="I68" s="135">
        <f t="shared" ref="I68:I69" si="8">0.5+1.75*G68</f>
        <v>2.5299999999999998</v>
      </c>
      <c r="J68" s="135">
        <f t="shared" ref="J68:J69" si="9">0.25+1.75*G68</f>
        <v>2.2799999999999998</v>
      </c>
      <c r="K68" s="135">
        <f t="shared" ref="K68:K69" si="10">I68+1.75*(3*F68/4)</f>
        <v>2.8885749999999999</v>
      </c>
      <c r="L68" s="96">
        <f t="shared" ref="L68:L69" si="11">$D$61*CHOOSE(N68,$D$62,$D$63,$D$64)/K68</f>
        <v>27.695316895008787</v>
      </c>
      <c r="M68" s="17"/>
      <c r="N68" s="75">
        <f t="shared" ref="N68:N70" si="12">IF(G68&lt;0.6,1,IF(G68&lt;0.91,2,3))</f>
        <v>3</v>
      </c>
    </row>
    <row r="69" spans="1:26" s="74" customFormat="1" ht="12" customHeight="1">
      <c r="A69" s="169"/>
      <c r="B69" s="140" t="str">
        <f t="shared" ref="B69:F70" si="13">+B43</f>
        <v>CR-13</v>
      </c>
      <c r="C69" s="140" t="str">
        <f t="shared" si="13"/>
        <v>CS-04</v>
      </c>
      <c r="D69" s="135">
        <f t="shared" si="13"/>
        <v>7.3</v>
      </c>
      <c r="E69" s="95">
        <f t="shared" si="13"/>
        <v>10</v>
      </c>
      <c r="F69" s="135">
        <f t="shared" si="13"/>
        <v>0.2732</v>
      </c>
      <c r="G69" s="135">
        <f t="shared" si="7"/>
        <v>1.1499999999999999</v>
      </c>
      <c r="H69" s="135">
        <f t="shared" si="7"/>
        <v>1</v>
      </c>
      <c r="I69" s="135">
        <f t="shared" si="8"/>
        <v>2.5124999999999997</v>
      </c>
      <c r="J69" s="135">
        <f t="shared" si="9"/>
        <v>2.2624999999999997</v>
      </c>
      <c r="K69" s="135">
        <f t="shared" si="10"/>
        <v>2.8710749999999998</v>
      </c>
      <c r="L69" s="96">
        <f t="shared" si="11"/>
        <v>27.864127548043854</v>
      </c>
      <c r="M69" s="17"/>
      <c r="N69" s="75">
        <f t="shared" si="12"/>
        <v>3</v>
      </c>
    </row>
    <row r="70" spans="1:26" s="74" customFormat="1" ht="12" customHeight="1">
      <c r="A70" s="169"/>
      <c r="B70" s="140" t="str">
        <f t="shared" si="13"/>
        <v>CS-04</v>
      </c>
      <c r="C70" s="140" t="str">
        <f t="shared" si="13"/>
        <v>PV-05</v>
      </c>
      <c r="D70" s="135">
        <f t="shared" si="13"/>
        <v>4.8</v>
      </c>
      <c r="E70" s="95">
        <f t="shared" si="13"/>
        <v>10</v>
      </c>
      <c r="F70" s="135">
        <f t="shared" si="13"/>
        <v>0.2732</v>
      </c>
      <c r="G70" s="135">
        <f t="shared" si="7"/>
        <v>1.3</v>
      </c>
      <c r="H70" s="135">
        <f t="shared" si="7"/>
        <v>1</v>
      </c>
      <c r="I70" s="135">
        <f t="shared" ref="I70" si="14">0.5+1.75*G70</f>
        <v>2.7749999999999999</v>
      </c>
      <c r="J70" s="135">
        <f t="shared" ref="J70" si="15">0.25+1.75*G70</f>
        <v>2.5249999999999999</v>
      </c>
      <c r="K70" s="135">
        <f t="shared" ref="K70" si="16">I70+1.75*(3*F70/4)</f>
        <v>3.133575</v>
      </c>
      <c r="L70" s="96">
        <f t="shared" ref="L70" si="17">$D$61*CHOOSE(N70,$D$62,$D$63,$D$64)/K70</f>
        <v>25.529945828646195</v>
      </c>
      <c r="M70" s="17"/>
      <c r="N70" s="75">
        <f t="shared" si="12"/>
        <v>3</v>
      </c>
    </row>
    <row r="71" spans="1:26" s="74" customFormat="1" ht="11.25">
      <c r="E71" s="77"/>
      <c r="F71" s="78"/>
      <c r="G71" s="79"/>
      <c r="H71" s="79"/>
      <c r="I71" s="80"/>
      <c r="J71" s="80"/>
      <c r="K71" s="80"/>
    </row>
    <row r="72" spans="1:26">
      <c r="A72" s="19" t="s">
        <v>24</v>
      </c>
      <c r="D72" s="37"/>
      <c r="E72" s="30"/>
      <c r="F72" s="43"/>
      <c r="G72" s="43"/>
      <c r="H72" s="36"/>
      <c r="I72" s="36"/>
      <c r="J72" s="36"/>
    </row>
    <row r="73" spans="1:26">
      <c r="D73" s="37"/>
      <c r="E73" s="30"/>
      <c r="F73" s="43"/>
      <c r="G73" s="43"/>
      <c r="H73" s="36"/>
      <c r="I73" s="36"/>
      <c r="J73" s="36"/>
    </row>
    <row r="74" spans="1:26">
      <c r="A74" s="298" t="s">
        <v>116</v>
      </c>
      <c r="B74" s="298"/>
      <c r="C74" s="298"/>
      <c r="D74" s="298"/>
      <c r="E74" s="298"/>
      <c r="F74" s="298"/>
      <c r="G74" s="298"/>
      <c r="H74" s="298"/>
      <c r="I74" s="298"/>
      <c r="J74" s="298"/>
      <c r="K74" s="298"/>
      <c r="L74" s="298"/>
      <c r="M74" s="298"/>
    </row>
    <row r="75" spans="1:26">
      <c r="A75" s="298"/>
      <c r="B75" s="298"/>
      <c r="C75" s="298"/>
      <c r="D75" s="298"/>
      <c r="E75" s="298"/>
      <c r="F75" s="298"/>
      <c r="G75" s="298"/>
      <c r="H75" s="298"/>
      <c r="I75" s="298"/>
      <c r="J75" s="298"/>
      <c r="K75" s="298"/>
      <c r="L75" s="298"/>
      <c r="M75" s="298"/>
    </row>
    <row r="76" spans="1:26">
      <c r="D76" s="37"/>
      <c r="E76" s="30"/>
      <c r="F76" s="43"/>
      <c r="G76" s="43"/>
      <c r="H76" s="36"/>
      <c r="I76" s="36"/>
      <c r="J76" s="36"/>
    </row>
    <row r="77" spans="1:26">
      <c r="D77" s="37"/>
      <c r="E77" s="30"/>
      <c r="F77" s="43"/>
      <c r="G77" s="43"/>
      <c r="H77" s="36"/>
      <c r="I77" s="36"/>
      <c r="J77" s="36"/>
      <c r="P77" s="19"/>
      <c r="Q77" s="19"/>
      <c r="R77" s="19"/>
      <c r="S77" s="19"/>
      <c r="T77" s="19"/>
      <c r="U77" s="19"/>
      <c r="V77" s="19"/>
      <c r="Y77" s="19"/>
      <c r="Z77" s="19"/>
    </row>
    <row r="78" spans="1:26">
      <c r="D78" s="37"/>
      <c r="E78" s="30"/>
      <c r="F78" s="43"/>
      <c r="G78" s="43"/>
      <c r="H78" s="36"/>
      <c r="I78" s="36"/>
      <c r="J78" s="36"/>
      <c r="P78" s="19"/>
      <c r="Q78" s="19"/>
      <c r="R78" s="19"/>
      <c r="S78" s="19"/>
      <c r="T78" s="19"/>
      <c r="U78" s="19"/>
      <c r="V78" s="19"/>
      <c r="Y78" s="19"/>
      <c r="Z78" s="19"/>
    </row>
    <row r="79" spans="1:26">
      <c r="D79" s="37"/>
      <c r="E79" s="30"/>
      <c r="F79" s="43"/>
      <c r="G79" s="43"/>
      <c r="H79" s="36"/>
      <c r="I79" s="36"/>
      <c r="J79" s="36"/>
      <c r="P79" s="19"/>
      <c r="Q79" s="19"/>
      <c r="R79" s="19"/>
      <c r="S79" s="19"/>
      <c r="T79" s="19"/>
      <c r="U79" s="19"/>
      <c r="V79" s="19"/>
      <c r="Y79" s="19"/>
      <c r="Z79" s="19"/>
    </row>
    <row r="80" spans="1:26">
      <c r="D80" s="37"/>
      <c r="E80" s="30"/>
      <c r="F80" s="43"/>
      <c r="G80" s="43"/>
      <c r="H80" s="36"/>
      <c r="I80" s="36"/>
      <c r="J80" s="36"/>
      <c r="P80" s="19"/>
      <c r="Q80" s="19"/>
      <c r="R80" s="19"/>
      <c r="S80" s="19"/>
      <c r="T80" s="19"/>
      <c r="U80" s="19"/>
      <c r="V80" s="19"/>
      <c r="Y80" s="19"/>
      <c r="Z80" s="19"/>
    </row>
    <row r="81" spans="1:240">
      <c r="A81" s="17" t="s">
        <v>2</v>
      </c>
      <c r="D81" s="37"/>
      <c r="E81" s="30"/>
      <c r="F81" s="43"/>
      <c r="G81" s="43"/>
      <c r="H81" s="36"/>
      <c r="I81" s="36"/>
      <c r="J81" s="36"/>
      <c r="P81" s="19"/>
      <c r="Q81" s="19"/>
      <c r="R81" s="19"/>
      <c r="S81" s="19"/>
      <c r="T81" s="19"/>
      <c r="U81" s="19"/>
      <c r="V81" s="19"/>
      <c r="Y81" s="19"/>
      <c r="Z81" s="19"/>
    </row>
    <row r="82" spans="1:240">
      <c r="C82" s="44" t="s">
        <v>100</v>
      </c>
      <c r="D82" s="45" t="s">
        <v>25</v>
      </c>
      <c r="E82" s="30"/>
      <c r="F82" s="43"/>
      <c r="G82" s="43"/>
      <c r="H82" s="36"/>
      <c r="I82" s="36"/>
      <c r="J82" s="36"/>
      <c r="O82" s="72"/>
      <c r="P82" s="154"/>
      <c r="Q82" s="154"/>
      <c r="R82" s="154"/>
      <c r="S82" s="19"/>
      <c r="T82" s="19"/>
      <c r="U82" s="19"/>
      <c r="V82" s="19"/>
      <c r="Y82" s="19"/>
      <c r="Z82" s="19"/>
    </row>
    <row r="83" spans="1:240">
      <c r="C83" s="44" t="s">
        <v>101</v>
      </c>
      <c r="D83" s="45" t="s">
        <v>27</v>
      </c>
      <c r="E83" s="30"/>
      <c r="F83" s="43"/>
      <c r="G83" s="43"/>
      <c r="H83" s="36"/>
      <c r="I83" s="36"/>
      <c r="J83" s="36"/>
      <c r="O83" s="181"/>
      <c r="P83" s="155"/>
      <c r="Q83" s="154"/>
      <c r="R83" s="154"/>
      <c r="S83" s="19"/>
      <c r="T83" s="19"/>
      <c r="U83" s="19"/>
      <c r="V83" s="19"/>
      <c r="W83" s="19"/>
      <c r="X83" s="19"/>
      <c r="Y83" s="19"/>
      <c r="Z83" s="19"/>
    </row>
    <row r="84" spans="1:240">
      <c r="C84" s="17" t="s">
        <v>26</v>
      </c>
      <c r="D84" s="45" t="s">
        <v>76</v>
      </c>
      <c r="E84" s="30"/>
      <c r="F84" s="43"/>
      <c r="G84" s="43"/>
      <c r="H84" s="36"/>
      <c r="I84" s="36"/>
      <c r="J84" s="36"/>
      <c r="O84" s="72"/>
      <c r="P84" s="155"/>
      <c r="Q84" s="154"/>
      <c r="R84" s="154"/>
      <c r="S84" s="19"/>
      <c r="T84" s="19"/>
      <c r="U84" s="19"/>
      <c r="V84" s="19"/>
      <c r="W84" s="19"/>
      <c r="X84" s="19"/>
      <c r="Y84" s="19"/>
      <c r="Z84" s="19"/>
    </row>
    <row r="85" spans="1:240" ht="13.5">
      <c r="C85" s="46" t="s">
        <v>102</v>
      </c>
      <c r="D85" s="45" t="s">
        <v>28</v>
      </c>
      <c r="E85" s="30"/>
      <c r="F85" s="43"/>
      <c r="G85" s="43"/>
      <c r="H85" s="36"/>
      <c r="I85" s="36"/>
      <c r="J85" s="36"/>
      <c r="O85" s="72"/>
      <c r="P85" s="155"/>
      <c r="Q85" s="154"/>
      <c r="R85" s="154"/>
    </row>
    <row r="86" spans="1:240">
      <c r="C86" s="17" t="s">
        <v>29</v>
      </c>
      <c r="D86" s="45" t="s">
        <v>30</v>
      </c>
      <c r="E86" s="30"/>
      <c r="F86" s="43"/>
      <c r="G86" s="43"/>
      <c r="H86" s="36"/>
      <c r="I86" s="36"/>
      <c r="J86" s="36"/>
      <c r="O86" s="72"/>
      <c r="P86" s="72"/>
      <c r="Q86" s="72"/>
      <c r="R86" s="72"/>
    </row>
    <row r="87" spans="1:240">
      <c r="C87" s="17" t="s">
        <v>31</v>
      </c>
      <c r="D87" s="45" t="s">
        <v>32</v>
      </c>
      <c r="E87" s="30"/>
      <c r="F87" s="43"/>
      <c r="G87" s="43"/>
      <c r="H87" s="36"/>
      <c r="I87" s="36"/>
      <c r="J87" s="36"/>
      <c r="O87" s="72"/>
      <c r="P87" s="72"/>
      <c r="Q87" s="72"/>
      <c r="R87" s="72"/>
      <c r="S87" s="301" t="s">
        <v>50</v>
      </c>
      <c r="T87" s="301" t="s">
        <v>51</v>
      </c>
      <c r="U87" s="301"/>
      <c r="V87" s="301"/>
      <c r="W87" s="301"/>
      <c r="X87" s="301"/>
      <c r="Y87" s="301"/>
      <c r="Z87" s="301"/>
      <c r="AA87" s="301"/>
    </row>
    <row r="88" spans="1:240">
      <c r="D88" s="45" t="s">
        <v>33</v>
      </c>
      <c r="E88" s="30"/>
      <c r="F88" s="43"/>
      <c r="G88" s="43"/>
      <c r="H88" s="36"/>
      <c r="I88" s="36"/>
      <c r="J88" s="36"/>
      <c r="O88" s="19"/>
      <c r="S88" s="301"/>
      <c r="T88" s="116">
        <v>1.25</v>
      </c>
      <c r="U88" s="116">
        <v>1.5</v>
      </c>
      <c r="V88" s="116">
        <v>1.75</v>
      </c>
      <c r="W88" s="116">
        <v>2</v>
      </c>
      <c r="X88" s="116">
        <v>2.5</v>
      </c>
      <c r="Y88" s="116">
        <v>3</v>
      </c>
      <c r="Z88" s="116">
        <v>4</v>
      </c>
      <c r="AA88" s="116">
        <v>5</v>
      </c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  <c r="HO88" s="19"/>
      <c r="HP88" s="19"/>
      <c r="HQ88" s="19"/>
      <c r="HR88" s="19"/>
      <c r="HS88" s="19"/>
      <c r="HT88" s="19"/>
      <c r="HU88" s="19"/>
      <c r="HV88" s="19"/>
      <c r="HW88" s="19"/>
      <c r="HX88" s="19"/>
      <c r="HY88" s="19"/>
      <c r="HZ88" s="19"/>
      <c r="IA88" s="19"/>
      <c r="IB88" s="19"/>
      <c r="IC88" s="19"/>
      <c r="ID88" s="19"/>
      <c r="IE88" s="19"/>
      <c r="IF88" s="19"/>
    </row>
    <row r="89" spans="1:240">
      <c r="C89" s="17" t="s">
        <v>34</v>
      </c>
      <c r="D89" s="45" t="s">
        <v>35</v>
      </c>
      <c r="E89" s="30"/>
      <c r="F89" s="43"/>
      <c r="G89" s="43"/>
      <c r="H89" s="36"/>
      <c r="I89" s="36"/>
      <c r="J89" s="36"/>
      <c r="O89" s="19"/>
      <c r="S89" s="180">
        <v>5.0000000000000001E-3</v>
      </c>
      <c r="T89" s="21">
        <v>0.02</v>
      </c>
      <c r="U89" s="21">
        <v>0.05</v>
      </c>
      <c r="V89" s="21">
        <v>0.08</v>
      </c>
      <c r="W89" s="21">
        <v>0.12</v>
      </c>
      <c r="X89" s="21">
        <v>0.23</v>
      </c>
      <c r="Y89" s="21">
        <v>0.43</v>
      </c>
      <c r="Z89" s="21">
        <v>0.72</v>
      </c>
      <c r="AA89" s="21">
        <v>1</v>
      </c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</row>
    <row r="90" spans="1:240">
      <c r="C90" s="17" t="s">
        <v>36</v>
      </c>
      <c r="D90" s="45" t="s">
        <v>37</v>
      </c>
      <c r="E90" s="30"/>
      <c r="F90" s="43"/>
      <c r="G90" s="43"/>
      <c r="H90" s="36"/>
      <c r="I90" s="36"/>
      <c r="J90" s="36"/>
      <c r="O90" s="19"/>
      <c r="S90" s="180">
        <v>0.01</v>
      </c>
      <c r="T90" s="21">
        <v>0.03</v>
      </c>
      <c r="U90" s="21">
        <v>7.0000000000000007E-2</v>
      </c>
      <c r="V90" s="21">
        <v>0.11</v>
      </c>
      <c r="W90" s="21">
        <v>0.15</v>
      </c>
      <c r="X90" s="21">
        <v>0.27</v>
      </c>
      <c r="Y90" s="21">
        <v>0.47</v>
      </c>
      <c r="Z90" s="21">
        <v>0.74</v>
      </c>
      <c r="AA90" s="21">
        <v>1</v>
      </c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</row>
    <row r="91" spans="1:240" ht="13.5">
      <c r="C91" s="17" t="s">
        <v>38</v>
      </c>
      <c r="D91" s="45" t="s">
        <v>103</v>
      </c>
      <c r="E91" s="30"/>
      <c r="F91" s="43"/>
      <c r="G91" s="43"/>
      <c r="H91" s="36"/>
      <c r="I91" s="36"/>
      <c r="J91" s="36"/>
      <c r="O91" s="19"/>
      <c r="S91" s="180">
        <v>0.02</v>
      </c>
      <c r="T91" s="21">
        <v>0.05</v>
      </c>
      <c r="U91" s="21">
        <v>0.1</v>
      </c>
      <c r="V91" s="21">
        <v>0.15</v>
      </c>
      <c r="W91" s="21">
        <v>0.2</v>
      </c>
      <c r="X91" s="21">
        <v>0.32</v>
      </c>
      <c r="Y91" s="21">
        <v>0.52</v>
      </c>
      <c r="Z91" s="21">
        <v>0.77</v>
      </c>
      <c r="AA91" s="21">
        <v>1</v>
      </c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  <c r="HY91" s="19"/>
      <c r="HZ91" s="19"/>
      <c r="IA91" s="19"/>
      <c r="IB91" s="19"/>
      <c r="IC91" s="19"/>
      <c r="ID91" s="19"/>
      <c r="IE91" s="19"/>
    </row>
    <row r="92" spans="1:240">
      <c r="C92" s="17" t="s">
        <v>39</v>
      </c>
      <c r="D92" s="45" t="s">
        <v>40</v>
      </c>
      <c r="E92" s="30"/>
      <c r="F92" s="43"/>
      <c r="G92" s="43"/>
      <c r="H92" s="36"/>
      <c r="I92" s="36"/>
      <c r="J92" s="36"/>
      <c r="O92" s="19"/>
      <c r="S92" s="180">
        <v>0.05</v>
      </c>
      <c r="T92" s="21">
        <v>0.1</v>
      </c>
      <c r="U92" s="21">
        <v>0.15</v>
      </c>
      <c r="V92" s="21">
        <v>0.2</v>
      </c>
      <c r="W92" s="21">
        <v>0.27</v>
      </c>
      <c r="X92" s="21">
        <v>0.38</v>
      </c>
      <c r="Y92" s="21">
        <v>0.57999999999999996</v>
      </c>
      <c r="Z92" s="21">
        <v>0.8</v>
      </c>
      <c r="AA92" s="21">
        <v>1</v>
      </c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  <c r="HM92" s="19"/>
      <c r="HN92" s="19"/>
      <c r="HO92" s="19"/>
      <c r="HP92" s="19"/>
      <c r="HQ92" s="19"/>
      <c r="HR92" s="19"/>
      <c r="HS92" s="19"/>
      <c r="HT92" s="19"/>
      <c r="HU92" s="19"/>
      <c r="HV92" s="19"/>
      <c r="HW92" s="19"/>
      <c r="HX92" s="19"/>
      <c r="HY92" s="19"/>
      <c r="HZ92" s="19"/>
      <c r="IA92" s="19"/>
      <c r="IB92" s="19"/>
      <c r="IC92" s="19"/>
      <c r="ID92" s="19"/>
      <c r="IE92" s="19"/>
      <c r="IF92" s="19"/>
    </row>
    <row r="93" spans="1:240">
      <c r="D93" s="45" t="s">
        <v>199</v>
      </c>
      <c r="E93" s="30"/>
      <c r="F93" s="43"/>
      <c r="G93" s="43"/>
      <c r="H93" s="36"/>
      <c r="I93" s="36"/>
      <c r="J93" s="36"/>
      <c r="O93" s="19"/>
      <c r="S93" s="115">
        <v>0.1</v>
      </c>
      <c r="T93" s="21">
        <v>0.15</v>
      </c>
      <c r="U93" s="21">
        <v>0.2</v>
      </c>
      <c r="V93" s="21">
        <v>0.27</v>
      </c>
      <c r="W93" s="21">
        <v>0.35</v>
      </c>
      <c r="X93" s="21">
        <v>0.46</v>
      </c>
      <c r="Y93" s="21">
        <v>0.65</v>
      </c>
      <c r="Z93" s="21">
        <v>0.84</v>
      </c>
      <c r="AA93" s="21">
        <v>1</v>
      </c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</row>
    <row r="94" spans="1:240">
      <c r="D94" s="45" t="s">
        <v>200</v>
      </c>
      <c r="E94" s="30"/>
      <c r="F94" s="43"/>
      <c r="G94" s="43"/>
      <c r="H94" s="36"/>
      <c r="I94" s="36"/>
      <c r="J94" s="36"/>
      <c r="O94" s="19"/>
      <c r="S94" s="115">
        <v>0.2</v>
      </c>
      <c r="T94" s="21">
        <v>0.25</v>
      </c>
      <c r="U94" s="21">
        <v>0.3</v>
      </c>
      <c r="V94" s="21">
        <v>0.38</v>
      </c>
      <c r="W94" s="21">
        <v>0.47</v>
      </c>
      <c r="X94" s="21">
        <v>0.57999999999999996</v>
      </c>
      <c r="Y94" s="21">
        <v>0.75</v>
      </c>
      <c r="Z94" s="21">
        <v>0.88</v>
      </c>
      <c r="AA94" s="21">
        <v>1</v>
      </c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  <c r="HO94" s="19"/>
      <c r="HP94" s="19"/>
      <c r="HQ94" s="19"/>
      <c r="HR94" s="19"/>
      <c r="HS94" s="19"/>
      <c r="HT94" s="19"/>
      <c r="HU94" s="19"/>
      <c r="HV94" s="19"/>
      <c r="HW94" s="19"/>
      <c r="HX94" s="19"/>
      <c r="HY94" s="19"/>
      <c r="HZ94" s="19"/>
      <c r="IA94" s="19"/>
      <c r="IB94" s="19"/>
      <c r="IC94" s="19"/>
      <c r="ID94" s="19"/>
      <c r="IE94" s="19"/>
      <c r="IF94" s="19"/>
    </row>
    <row r="95" spans="1:240">
      <c r="D95" s="45" t="s">
        <v>201</v>
      </c>
      <c r="E95" s="30"/>
      <c r="F95" s="43"/>
      <c r="G95" s="43"/>
      <c r="H95" s="36"/>
      <c r="I95" s="36"/>
      <c r="J95" s="36"/>
      <c r="O95" s="19"/>
      <c r="S95" s="115">
        <v>0.4</v>
      </c>
      <c r="T95" s="21">
        <v>0.45</v>
      </c>
      <c r="U95" s="21">
        <v>0.5</v>
      </c>
      <c r="V95" s="21">
        <v>0.56000000000000005</v>
      </c>
      <c r="W95" s="21">
        <v>0.64</v>
      </c>
      <c r="X95" s="21">
        <v>0.75</v>
      </c>
      <c r="Y95" s="21">
        <v>0.85</v>
      </c>
      <c r="Z95" s="21">
        <v>0.93</v>
      </c>
      <c r="AA95" s="21">
        <v>1</v>
      </c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  <c r="HK95" s="19"/>
      <c r="HL95" s="19"/>
      <c r="HM95" s="19"/>
      <c r="HN95" s="19"/>
      <c r="HO95" s="19"/>
      <c r="HP95" s="19"/>
      <c r="HQ95" s="19"/>
      <c r="HR95" s="19"/>
      <c r="HS95" s="19"/>
      <c r="HT95" s="19"/>
      <c r="HU95" s="19"/>
      <c r="HV95" s="19"/>
      <c r="HW95" s="19"/>
      <c r="HX95" s="19"/>
      <c r="HY95" s="19"/>
      <c r="HZ95" s="19"/>
      <c r="IA95" s="19"/>
      <c r="IB95" s="19"/>
      <c r="IC95" s="19"/>
      <c r="ID95" s="19"/>
      <c r="IE95" s="19"/>
      <c r="IF95" s="19"/>
    </row>
    <row r="96" spans="1:240">
      <c r="D96" s="45"/>
      <c r="E96" s="30"/>
      <c r="F96" s="43"/>
      <c r="G96" s="43"/>
      <c r="H96" s="36"/>
      <c r="I96" s="36"/>
      <c r="J96" s="36"/>
      <c r="O96" s="19"/>
      <c r="S96" s="115">
        <v>0.6</v>
      </c>
      <c r="T96" s="21">
        <v>0.65</v>
      </c>
      <c r="U96" s="21">
        <v>0.7</v>
      </c>
      <c r="V96" s="21">
        <v>0.75</v>
      </c>
      <c r="W96" s="21">
        <v>0.81</v>
      </c>
      <c r="X96" s="21">
        <v>0.87</v>
      </c>
      <c r="Y96" s="21">
        <v>0.94</v>
      </c>
      <c r="Z96" s="21">
        <v>0.98</v>
      </c>
      <c r="AA96" s="21">
        <v>1</v>
      </c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  <c r="HK96" s="19"/>
      <c r="HL96" s="19"/>
      <c r="HM96" s="19"/>
      <c r="HN96" s="19"/>
      <c r="HO96" s="19"/>
      <c r="HP96" s="19"/>
      <c r="HQ96" s="19"/>
      <c r="HR96" s="19"/>
      <c r="HS96" s="19"/>
      <c r="HT96" s="19"/>
      <c r="HU96" s="19"/>
      <c r="HV96" s="19"/>
      <c r="HW96" s="19"/>
      <c r="HX96" s="19"/>
      <c r="HY96" s="19"/>
      <c r="HZ96" s="19"/>
      <c r="IA96" s="19"/>
      <c r="IB96" s="19"/>
      <c r="IC96" s="19"/>
      <c r="ID96" s="19"/>
      <c r="IE96" s="19"/>
      <c r="IF96" s="19"/>
    </row>
    <row r="97" spans="1:240">
      <c r="D97" s="37"/>
      <c r="E97" s="30"/>
      <c r="F97" s="43"/>
      <c r="G97" s="43"/>
      <c r="H97" s="36"/>
      <c r="I97" s="36"/>
      <c r="J97" s="36"/>
      <c r="O97" s="180" t="s">
        <v>198</v>
      </c>
      <c r="P97" s="180" t="s">
        <v>46</v>
      </c>
      <c r="Q97" s="180" t="s">
        <v>197</v>
      </c>
      <c r="S97" s="115">
        <v>0.8</v>
      </c>
      <c r="T97" s="21">
        <v>0.84</v>
      </c>
      <c r="U97" s="21">
        <v>0.87</v>
      </c>
      <c r="V97" s="21">
        <v>0.9</v>
      </c>
      <c r="W97" s="21">
        <v>0.93</v>
      </c>
      <c r="X97" s="21">
        <v>0.96</v>
      </c>
      <c r="Y97" s="21">
        <v>0.98</v>
      </c>
      <c r="Z97" s="21">
        <v>1</v>
      </c>
      <c r="AA97" s="21">
        <v>1</v>
      </c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  <c r="HM97" s="19"/>
      <c r="HN97" s="19"/>
      <c r="HO97" s="19"/>
      <c r="HP97" s="19"/>
      <c r="HQ97" s="19"/>
      <c r="HR97" s="19"/>
      <c r="HS97" s="19"/>
      <c r="HT97" s="19"/>
      <c r="HU97" s="19"/>
      <c r="HV97" s="19"/>
      <c r="HW97" s="19"/>
      <c r="HX97" s="19"/>
      <c r="HY97" s="19"/>
      <c r="HZ97" s="19"/>
      <c r="IA97" s="19"/>
      <c r="IB97" s="19"/>
      <c r="IC97" s="19"/>
      <c r="ID97" s="19"/>
      <c r="IE97" s="19"/>
      <c r="IF97" s="19"/>
    </row>
    <row r="98" spans="1:240">
      <c r="A98" s="17" t="s">
        <v>41</v>
      </c>
      <c r="I98" s="36"/>
      <c r="J98" s="36"/>
      <c r="O98" s="117">
        <v>1</v>
      </c>
      <c r="P98" s="117">
        <v>0.105</v>
      </c>
      <c r="Q98" s="117">
        <v>14000</v>
      </c>
      <c r="S98" s="115">
        <v>1</v>
      </c>
      <c r="T98" s="21">
        <v>1</v>
      </c>
      <c r="U98" s="21">
        <v>1</v>
      </c>
      <c r="V98" s="21">
        <v>1</v>
      </c>
      <c r="W98" s="21">
        <v>1</v>
      </c>
      <c r="X98" s="21">
        <v>1</v>
      </c>
      <c r="Y98" s="21">
        <v>1</v>
      </c>
      <c r="Z98" s="21">
        <v>1</v>
      </c>
      <c r="AA98" s="21">
        <v>1</v>
      </c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  <c r="CW98" s="19"/>
      <c r="CX98" s="19"/>
      <c r="CY98" s="19"/>
      <c r="CZ98" s="19"/>
      <c r="DA98" s="19"/>
      <c r="DB98" s="19"/>
      <c r="DC98" s="19"/>
      <c r="DD98" s="19"/>
      <c r="DE98" s="19"/>
      <c r="DF98" s="19"/>
      <c r="DG98" s="19"/>
      <c r="DH98" s="19"/>
      <c r="DI98" s="19"/>
      <c r="DJ98" s="19"/>
      <c r="DK98" s="19"/>
      <c r="DL98" s="19"/>
      <c r="DM98" s="19"/>
      <c r="DN98" s="19"/>
      <c r="DO98" s="19"/>
      <c r="DP98" s="19"/>
      <c r="DQ98" s="19"/>
      <c r="DR98" s="19"/>
      <c r="DS98" s="19"/>
      <c r="DT98" s="19"/>
      <c r="DU98" s="19"/>
      <c r="DV98" s="19"/>
      <c r="DW98" s="19"/>
      <c r="DX98" s="19"/>
      <c r="DY98" s="19"/>
      <c r="DZ98" s="19"/>
      <c r="EA98" s="19"/>
      <c r="EB98" s="19"/>
      <c r="EC98" s="19"/>
      <c r="ED98" s="19"/>
      <c r="EE98" s="19"/>
      <c r="EF98" s="19"/>
      <c r="EG98" s="19"/>
      <c r="EH98" s="19"/>
      <c r="EI98" s="19"/>
      <c r="EJ98" s="19"/>
      <c r="EK98" s="19"/>
      <c r="EL98" s="19"/>
      <c r="EM98" s="19"/>
      <c r="EN98" s="19"/>
      <c r="EO98" s="19"/>
      <c r="EP98" s="19"/>
      <c r="EQ98" s="19"/>
      <c r="ER98" s="19"/>
      <c r="ES98" s="19"/>
      <c r="ET98" s="19"/>
      <c r="EU98" s="19"/>
      <c r="EV98" s="19"/>
      <c r="EW98" s="19"/>
      <c r="EX98" s="19"/>
      <c r="EY98" s="19"/>
      <c r="EZ98" s="19"/>
      <c r="FA98" s="19"/>
      <c r="FB98" s="19"/>
      <c r="FC98" s="19"/>
      <c r="FD98" s="19"/>
      <c r="FE98" s="19"/>
      <c r="FF98" s="19"/>
      <c r="FG98" s="19"/>
      <c r="FH98" s="19"/>
      <c r="FI98" s="19"/>
      <c r="FJ98" s="19"/>
      <c r="FK98" s="19"/>
      <c r="FL98" s="19"/>
      <c r="FM98" s="19"/>
      <c r="FN98" s="19"/>
      <c r="FO98" s="19"/>
      <c r="FP98" s="19"/>
      <c r="FQ98" s="19"/>
      <c r="FR98" s="19"/>
      <c r="FS98" s="19"/>
      <c r="FT98" s="19"/>
      <c r="FU98" s="19"/>
      <c r="FV98" s="19"/>
      <c r="FW98" s="19"/>
      <c r="FX98" s="19"/>
      <c r="FY98" s="19"/>
      <c r="FZ98" s="19"/>
      <c r="GA98" s="19"/>
      <c r="GB98" s="19"/>
      <c r="GC98" s="19"/>
      <c r="GD98" s="19"/>
      <c r="GE98" s="19"/>
      <c r="GF98" s="19"/>
      <c r="GG98" s="19"/>
      <c r="GH98" s="19"/>
      <c r="GI98" s="19"/>
      <c r="GJ98" s="19"/>
      <c r="GK98" s="19"/>
      <c r="GL98" s="19"/>
      <c r="GM98" s="19"/>
      <c r="GN98" s="19"/>
      <c r="GO98" s="19"/>
      <c r="GP98" s="19"/>
      <c r="GQ98" s="19"/>
      <c r="GR98" s="19"/>
      <c r="GS98" s="19"/>
      <c r="GT98" s="19"/>
      <c r="GU98" s="19"/>
      <c r="GV98" s="19"/>
      <c r="GW98" s="19"/>
      <c r="GX98" s="19"/>
      <c r="GY98" s="19"/>
      <c r="GZ98" s="19"/>
      <c r="HA98" s="19"/>
      <c r="HB98" s="19"/>
      <c r="HC98" s="19"/>
      <c r="HD98" s="19"/>
      <c r="HE98" s="19"/>
      <c r="HF98" s="19"/>
      <c r="HG98" s="19"/>
      <c r="HH98" s="19"/>
      <c r="HI98" s="19"/>
      <c r="HJ98" s="19"/>
      <c r="HK98" s="19"/>
      <c r="HL98" s="19"/>
      <c r="HM98" s="19"/>
      <c r="HN98" s="19"/>
      <c r="HO98" s="19"/>
      <c r="HP98" s="19"/>
      <c r="HQ98" s="19"/>
      <c r="HR98" s="19"/>
      <c r="HS98" s="19"/>
      <c r="HT98" s="19"/>
      <c r="HU98" s="19"/>
      <c r="HV98" s="19"/>
      <c r="HW98" s="19"/>
      <c r="HX98" s="19"/>
      <c r="HY98" s="19"/>
      <c r="HZ98" s="19"/>
      <c r="IA98" s="19"/>
      <c r="IB98" s="19"/>
      <c r="IC98" s="19"/>
      <c r="ID98" s="19"/>
      <c r="IE98" s="19"/>
      <c r="IF98" s="19"/>
    </row>
    <row r="99" spans="1:240">
      <c r="C99" s="47"/>
      <c r="I99" s="36"/>
      <c r="J99" s="36"/>
      <c r="O99" s="198">
        <v>2</v>
      </c>
      <c r="P99" s="198">
        <v>0.1</v>
      </c>
      <c r="Q99" s="198">
        <v>11000</v>
      </c>
      <c r="S99" s="115">
        <v>1.5</v>
      </c>
      <c r="T99" s="21">
        <v>1.4</v>
      </c>
      <c r="U99" s="21">
        <v>1.3</v>
      </c>
      <c r="V99" s="21">
        <v>1.2</v>
      </c>
      <c r="W99" s="21">
        <v>1.1200000000000001</v>
      </c>
      <c r="X99" s="21">
        <v>1.06</v>
      </c>
      <c r="Y99" s="21">
        <v>1.03</v>
      </c>
      <c r="Z99" s="21">
        <v>1</v>
      </c>
      <c r="AA99" s="21">
        <v>1</v>
      </c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  <c r="CW99" s="19"/>
      <c r="CX99" s="19"/>
      <c r="CY99" s="19"/>
      <c r="CZ99" s="19"/>
      <c r="DA99" s="19"/>
      <c r="DB99" s="19"/>
      <c r="DC99" s="19"/>
      <c r="DD99" s="19"/>
      <c r="DE99" s="19"/>
      <c r="DF99" s="19"/>
      <c r="DG99" s="19"/>
      <c r="DH99" s="19"/>
      <c r="DI99" s="19"/>
      <c r="DJ99" s="19"/>
      <c r="DK99" s="19"/>
      <c r="DL99" s="19"/>
      <c r="DM99" s="19"/>
      <c r="DN99" s="19"/>
      <c r="DO99" s="19"/>
      <c r="DP99" s="19"/>
      <c r="DQ99" s="19"/>
      <c r="DR99" s="19"/>
      <c r="DS99" s="19"/>
      <c r="DT99" s="19"/>
      <c r="DU99" s="19"/>
      <c r="DV99" s="19"/>
      <c r="DW99" s="19"/>
      <c r="DX99" s="19"/>
      <c r="DY99" s="19"/>
      <c r="DZ99" s="19"/>
      <c r="EA99" s="19"/>
      <c r="EB99" s="19"/>
      <c r="EC99" s="19"/>
      <c r="ED99" s="19"/>
      <c r="EE99" s="19"/>
      <c r="EF99" s="19"/>
      <c r="EG99" s="19"/>
      <c r="EH99" s="19"/>
      <c r="EI99" s="19"/>
      <c r="EJ99" s="19"/>
      <c r="EK99" s="19"/>
      <c r="EL99" s="19"/>
      <c r="EM99" s="19"/>
      <c r="EN99" s="19"/>
      <c r="EO99" s="19"/>
      <c r="EP99" s="19"/>
      <c r="EQ99" s="19"/>
      <c r="ER99" s="19"/>
      <c r="ES99" s="19"/>
      <c r="ET99" s="19"/>
      <c r="EU99" s="19"/>
      <c r="EV99" s="19"/>
      <c r="EW99" s="19"/>
      <c r="EX99" s="19"/>
      <c r="EY99" s="19"/>
      <c r="EZ99" s="19"/>
      <c r="FA99" s="19"/>
      <c r="FB99" s="19"/>
      <c r="FC99" s="19"/>
      <c r="FD99" s="19"/>
      <c r="FE99" s="19"/>
      <c r="FF99" s="19"/>
      <c r="FG99" s="19"/>
      <c r="FH99" s="19"/>
      <c r="FI99" s="19"/>
      <c r="FJ99" s="19"/>
      <c r="FK99" s="19"/>
      <c r="FL99" s="19"/>
      <c r="FM99" s="19"/>
      <c r="FN99" s="19"/>
      <c r="FO99" s="19"/>
      <c r="FP99" s="19"/>
      <c r="FQ99" s="19"/>
      <c r="FR99" s="19"/>
      <c r="FS99" s="19"/>
      <c r="FT99" s="19"/>
      <c r="FU99" s="19"/>
      <c r="FV99" s="19"/>
      <c r="FW99" s="19"/>
      <c r="FX99" s="19"/>
      <c r="FY99" s="19"/>
      <c r="FZ99" s="19"/>
      <c r="GA99" s="19"/>
      <c r="GB99" s="19"/>
      <c r="GC99" s="19"/>
      <c r="GD99" s="19"/>
      <c r="GE99" s="19"/>
      <c r="GF99" s="19"/>
      <c r="GG99" s="19"/>
      <c r="GH99" s="19"/>
      <c r="GI99" s="19"/>
      <c r="GJ99" s="19"/>
      <c r="GK99" s="19"/>
      <c r="GL99" s="19"/>
      <c r="GM99" s="19"/>
      <c r="GN99" s="19"/>
      <c r="GO99" s="19"/>
      <c r="GP99" s="19"/>
      <c r="GQ99" s="19"/>
      <c r="GR99" s="19"/>
      <c r="GS99" s="19"/>
      <c r="GT99" s="19"/>
      <c r="GU99" s="19"/>
      <c r="GV99" s="19"/>
      <c r="GW99" s="19"/>
      <c r="GX99" s="19"/>
      <c r="GY99" s="19"/>
      <c r="GZ99" s="19"/>
      <c r="HA99" s="19"/>
      <c r="HB99" s="19"/>
      <c r="HC99" s="19"/>
      <c r="HD99" s="19"/>
      <c r="HE99" s="19"/>
      <c r="HF99" s="19"/>
      <c r="HG99" s="19"/>
      <c r="HH99" s="19"/>
      <c r="HI99" s="19"/>
      <c r="HJ99" s="19"/>
      <c r="HK99" s="19"/>
      <c r="HL99" s="19"/>
      <c r="HM99" s="19"/>
      <c r="HN99" s="19"/>
      <c r="HO99" s="19"/>
      <c r="HP99" s="19"/>
      <c r="HQ99" s="19"/>
      <c r="HR99" s="19"/>
      <c r="HS99" s="19"/>
      <c r="HT99" s="19"/>
      <c r="HU99" s="19"/>
      <c r="HV99" s="19"/>
      <c r="HW99" s="19"/>
      <c r="HX99" s="19"/>
      <c r="HY99" s="19"/>
      <c r="HZ99" s="19"/>
      <c r="IA99" s="19"/>
      <c r="IB99" s="19"/>
      <c r="IC99" s="19"/>
      <c r="ID99" s="19"/>
      <c r="IE99" s="19"/>
      <c r="IF99" s="19"/>
    </row>
    <row r="100" spans="1:240" ht="13.5">
      <c r="B100" s="48" t="s">
        <v>102</v>
      </c>
      <c r="C100" s="49"/>
      <c r="D100" s="41">
        <v>1.5</v>
      </c>
      <c r="E100" s="72"/>
      <c r="F100" s="72"/>
      <c r="G100" s="72"/>
      <c r="H100" s="72"/>
      <c r="I100" s="36"/>
      <c r="J100" s="36"/>
      <c r="K100" s="72"/>
      <c r="L100" s="72"/>
      <c r="O100" s="182">
        <v>3</v>
      </c>
      <c r="P100" s="182">
        <v>9.6000000000000002E-2</v>
      </c>
      <c r="Q100" s="182">
        <v>4000</v>
      </c>
      <c r="S100" s="115">
        <v>2</v>
      </c>
      <c r="T100" s="21">
        <v>1.7</v>
      </c>
      <c r="U100" s="21">
        <v>1.5</v>
      </c>
      <c r="V100" s="21">
        <v>1.4</v>
      </c>
      <c r="W100" s="21">
        <v>1.3</v>
      </c>
      <c r="X100" s="21">
        <v>1.2</v>
      </c>
      <c r="Y100" s="239">
        <v>1.1000000000000001</v>
      </c>
      <c r="Z100" s="239">
        <v>1.05</v>
      </c>
      <c r="AA100" s="21">
        <v>1</v>
      </c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  <c r="CW100" s="19"/>
      <c r="CX100" s="19"/>
      <c r="CY100" s="19"/>
      <c r="CZ100" s="19"/>
      <c r="DA100" s="19"/>
      <c r="DB100" s="19"/>
      <c r="DC100" s="19"/>
      <c r="DD100" s="19"/>
      <c r="DE100" s="19"/>
      <c r="DF100" s="19"/>
      <c r="DG100" s="19"/>
      <c r="DH100" s="19"/>
      <c r="DI100" s="19"/>
      <c r="DJ100" s="19"/>
      <c r="DK100" s="19"/>
      <c r="DL100" s="19"/>
      <c r="DM100" s="19"/>
      <c r="DN100" s="19"/>
      <c r="DO100" s="19"/>
      <c r="DP100" s="19"/>
      <c r="DQ100" s="19"/>
      <c r="DR100" s="19"/>
      <c r="DS100" s="19"/>
      <c r="DT100" s="19"/>
      <c r="DU100" s="19"/>
      <c r="DV100" s="19"/>
      <c r="DW100" s="19"/>
      <c r="DX100" s="19"/>
      <c r="DY100" s="19"/>
      <c r="DZ100" s="19"/>
      <c r="EA100" s="19"/>
      <c r="EB100" s="19"/>
      <c r="EC100" s="19"/>
      <c r="ED100" s="19"/>
      <c r="EE100" s="19"/>
      <c r="EF100" s="19"/>
      <c r="EG100" s="19"/>
      <c r="EH100" s="19"/>
      <c r="EI100" s="19"/>
      <c r="EJ100" s="19"/>
      <c r="EK100" s="19"/>
      <c r="EL100" s="19"/>
      <c r="EM100" s="19"/>
      <c r="EN100" s="19"/>
      <c r="EO100" s="19"/>
      <c r="EP100" s="19"/>
      <c r="EQ100" s="19"/>
      <c r="ER100" s="19"/>
      <c r="ES100" s="19"/>
      <c r="ET100" s="19"/>
      <c r="EU100" s="19"/>
      <c r="EV100" s="19"/>
      <c r="EW100" s="19"/>
      <c r="EX100" s="19"/>
      <c r="EY100" s="19"/>
      <c r="EZ100" s="19"/>
      <c r="FA100" s="19"/>
      <c r="FB100" s="19"/>
      <c r="FC100" s="19"/>
      <c r="FD100" s="19"/>
      <c r="FE100" s="19"/>
      <c r="FF100" s="19"/>
      <c r="FG100" s="19"/>
      <c r="FH100" s="19"/>
      <c r="FI100" s="19"/>
      <c r="FJ100" s="19"/>
      <c r="FK100" s="19"/>
      <c r="FL100" s="19"/>
      <c r="FM100" s="19"/>
      <c r="FN100" s="19"/>
      <c r="FO100" s="19"/>
      <c r="FP100" s="19"/>
      <c r="FQ100" s="19"/>
      <c r="FR100" s="19"/>
      <c r="FS100" s="19"/>
      <c r="FT100" s="19"/>
      <c r="FU100" s="19"/>
      <c r="FV100" s="19"/>
      <c r="FW100" s="19"/>
      <c r="FX100" s="19"/>
      <c r="FY100" s="19"/>
      <c r="FZ100" s="19"/>
      <c r="GA100" s="19"/>
      <c r="GB100" s="19"/>
      <c r="GC100" s="19"/>
      <c r="GD100" s="19"/>
      <c r="GE100" s="19"/>
      <c r="GF100" s="19"/>
      <c r="GG100" s="19"/>
      <c r="GH100" s="19"/>
      <c r="GI100" s="19"/>
      <c r="GJ100" s="19"/>
      <c r="GK100" s="19"/>
      <c r="GL100" s="19"/>
      <c r="GM100" s="19"/>
      <c r="GN100" s="19"/>
      <c r="GO100" s="19"/>
      <c r="GP100" s="19"/>
      <c r="GQ100" s="19"/>
      <c r="GR100" s="19"/>
      <c r="GS100" s="19"/>
      <c r="GT100" s="19"/>
      <c r="GU100" s="19"/>
      <c r="GV100" s="19"/>
      <c r="GW100" s="19"/>
      <c r="GX100" s="19"/>
      <c r="GY100" s="19"/>
      <c r="GZ100" s="19"/>
      <c r="HA100" s="19"/>
      <c r="HB100" s="19"/>
      <c r="HC100" s="19"/>
      <c r="HD100" s="19"/>
      <c r="HE100" s="19"/>
      <c r="HF100" s="19"/>
      <c r="HG100" s="19"/>
      <c r="HH100" s="19"/>
      <c r="HI100" s="19"/>
      <c r="HJ100" s="19"/>
      <c r="HK100" s="19"/>
      <c r="HL100" s="19"/>
      <c r="HM100" s="19"/>
      <c r="HN100" s="19"/>
      <c r="HO100" s="19"/>
      <c r="HP100" s="19"/>
      <c r="HQ100" s="19"/>
      <c r="HR100" s="19"/>
      <c r="HS100" s="19"/>
      <c r="HT100" s="19"/>
      <c r="HU100" s="19"/>
      <c r="HV100" s="19"/>
      <c r="HW100" s="19"/>
      <c r="HX100" s="19"/>
      <c r="HY100" s="19"/>
      <c r="HZ100" s="19"/>
      <c r="IA100" s="19"/>
      <c r="IB100" s="19"/>
      <c r="IC100" s="19"/>
      <c r="ID100" s="19"/>
      <c r="IE100" s="19"/>
      <c r="IF100" s="19"/>
    </row>
    <row r="101" spans="1:240" ht="13.5">
      <c r="B101" s="50" t="s">
        <v>104</v>
      </c>
      <c r="C101" s="51"/>
      <c r="D101" s="53">
        <f>0.149*57</f>
        <v>8.4930000000000003</v>
      </c>
      <c r="E101" s="123" t="s">
        <v>42</v>
      </c>
      <c r="F101" s="72"/>
      <c r="G101" s="72"/>
      <c r="H101" s="72"/>
      <c r="I101" s="36"/>
      <c r="J101" s="36"/>
      <c r="K101" s="72"/>
      <c r="L101" s="72"/>
      <c r="O101" s="182">
        <v>4</v>
      </c>
      <c r="P101" s="182">
        <v>0.1</v>
      </c>
      <c r="Q101" s="182">
        <v>16000</v>
      </c>
      <c r="S101" s="115">
        <v>3</v>
      </c>
      <c r="T101" s="21">
        <v>2.2000000000000002</v>
      </c>
      <c r="U101" s="21">
        <v>1.8</v>
      </c>
      <c r="V101" s="21">
        <v>1.65</v>
      </c>
      <c r="W101" s="21">
        <v>1.5</v>
      </c>
      <c r="X101" s="21">
        <v>1.35</v>
      </c>
      <c r="Y101" s="239">
        <v>1.2</v>
      </c>
      <c r="Z101" s="239">
        <v>1.1000000000000001</v>
      </c>
      <c r="AA101" s="21">
        <v>1</v>
      </c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  <c r="DC101" s="19"/>
      <c r="DD101" s="19"/>
      <c r="DE101" s="19"/>
      <c r="DF101" s="19"/>
      <c r="DG101" s="19"/>
      <c r="DH101" s="19"/>
      <c r="DI101" s="19"/>
      <c r="DJ101" s="19"/>
      <c r="DK101" s="19"/>
      <c r="DL101" s="19"/>
      <c r="DM101" s="19"/>
      <c r="DN101" s="19"/>
      <c r="DO101" s="19"/>
      <c r="DP101" s="19"/>
      <c r="DQ101" s="19"/>
      <c r="DR101" s="19"/>
      <c r="DS101" s="19"/>
      <c r="DT101" s="19"/>
      <c r="DU101" s="19"/>
      <c r="DV101" s="19"/>
      <c r="DW101" s="19"/>
      <c r="DX101" s="19"/>
      <c r="DY101" s="19"/>
      <c r="DZ101" s="19"/>
      <c r="EA101" s="19"/>
      <c r="EB101" s="19"/>
      <c r="EC101" s="19"/>
      <c r="ED101" s="19"/>
      <c r="EE101" s="19"/>
      <c r="EF101" s="19"/>
      <c r="EG101" s="19"/>
      <c r="EH101" s="19"/>
      <c r="EI101" s="19"/>
      <c r="EJ101" s="19"/>
      <c r="EK101" s="19"/>
      <c r="EL101" s="19"/>
      <c r="EM101" s="19"/>
      <c r="EN101" s="19"/>
      <c r="EO101" s="19"/>
      <c r="EP101" s="19"/>
      <c r="EQ101" s="19"/>
      <c r="ER101" s="19"/>
      <c r="ES101" s="19"/>
      <c r="ET101" s="19"/>
      <c r="EU101" s="19"/>
      <c r="EV101" s="19"/>
      <c r="EW101" s="19"/>
      <c r="EX101" s="19"/>
      <c r="EY101" s="19"/>
      <c r="EZ101" s="19"/>
      <c r="FA101" s="19"/>
      <c r="FB101" s="19"/>
      <c r="FC101" s="19"/>
      <c r="FD101" s="19"/>
      <c r="FE101" s="19"/>
      <c r="FF101" s="19"/>
      <c r="FG101" s="19"/>
      <c r="FH101" s="19"/>
      <c r="FI101" s="19"/>
      <c r="FJ101" s="19"/>
      <c r="FK101" s="19"/>
      <c r="FL101" s="19"/>
      <c r="FM101" s="19"/>
      <c r="FN101" s="19"/>
      <c r="FO101" s="19"/>
      <c r="FP101" s="19"/>
      <c r="FQ101" s="19"/>
      <c r="FR101" s="19"/>
      <c r="FS101" s="19"/>
      <c r="FT101" s="19"/>
      <c r="FU101" s="19"/>
      <c r="FV101" s="19"/>
      <c r="FW101" s="19"/>
      <c r="FX101" s="19"/>
      <c r="FY101" s="19"/>
      <c r="FZ101" s="19"/>
      <c r="GA101" s="19"/>
      <c r="GB101" s="19"/>
      <c r="GC101" s="19"/>
      <c r="GD101" s="19"/>
      <c r="GE101" s="19"/>
      <c r="GF101" s="19"/>
      <c r="GG101" s="19"/>
      <c r="GH101" s="19"/>
      <c r="GI101" s="19"/>
      <c r="GJ101" s="19"/>
      <c r="GK101" s="19"/>
      <c r="GL101" s="19"/>
      <c r="GM101" s="19"/>
      <c r="GN101" s="19"/>
      <c r="GO101" s="19"/>
      <c r="GP101" s="19"/>
      <c r="GQ101" s="19"/>
      <c r="GR101" s="19"/>
      <c r="GS101" s="19"/>
      <c r="GT101" s="19"/>
      <c r="GU101" s="19"/>
      <c r="GV101" s="19"/>
      <c r="GW101" s="19"/>
      <c r="GX101" s="19"/>
      <c r="GY101" s="19"/>
      <c r="GZ101" s="19"/>
      <c r="HA101" s="19"/>
      <c r="HB101" s="19"/>
      <c r="HC101" s="19"/>
      <c r="HD101" s="19"/>
      <c r="HE101" s="19"/>
      <c r="HF101" s="19"/>
      <c r="HG101" s="19"/>
      <c r="HH101" s="19"/>
      <c r="HI101" s="19"/>
      <c r="HJ101" s="19"/>
      <c r="HK101" s="19"/>
      <c r="HL101" s="19"/>
      <c r="HM101" s="19"/>
      <c r="HN101" s="19"/>
      <c r="HO101" s="19"/>
      <c r="HP101" s="19"/>
      <c r="HQ101" s="19"/>
      <c r="HR101" s="19"/>
      <c r="HS101" s="19"/>
      <c r="HT101" s="19"/>
      <c r="HU101" s="19"/>
      <c r="HV101" s="19"/>
      <c r="HW101" s="19"/>
      <c r="HX101" s="19"/>
      <c r="HY101" s="19"/>
      <c r="HZ101" s="19"/>
      <c r="IA101" s="19"/>
      <c r="IB101" s="19"/>
      <c r="IC101" s="19"/>
      <c r="ID101" s="19"/>
      <c r="IE101" s="19"/>
      <c r="IF101" s="19"/>
    </row>
    <row r="102" spans="1:240" ht="13.5">
      <c r="B102" s="50" t="s">
        <v>105</v>
      </c>
      <c r="C102" s="51"/>
      <c r="D102" s="54">
        <f>D101/14.21*100</f>
        <v>59.767769176636165</v>
      </c>
      <c r="E102" s="123" t="s">
        <v>43</v>
      </c>
      <c r="F102" s="123"/>
      <c r="G102" s="123"/>
      <c r="H102" s="123"/>
      <c r="I102" s="60"/>
      <c r="J102" s="60"/>
      <c r="K102" s="123"/>
      <c r="L102" s="72"/>
      <c r="S102" s="115">
        <v>5</v>
      </c>
      <c r="T102" s="21">
        <v>3</v>
      </c>
      <c r="U102" s="21">
        <v>2.2000000000000002</v>
      </c>
      <c r="V102" s="21">
        <v>1.9</v>
      </c>
      <c r="W102" s="21">
        <v>1.7</v>
      </c>
      <c r="X102" s="21">
        <v>1.5</v>
      </c>
      <c r="Y102" s="21">
        <v>1.3</v>
      </c>
      <c r="Z102" s="21">
        <v>1.1499999999999999</v>
      </c>
      <c r="AA102" s="21">
        <v>1</v>
      </c>
    </row>
    <row r="103" spans="1:240" ht="13.5">
      <c r="B103" s="50" t="s">
        <v>104</v>
      </c>
      <c r="C103" s="51"/>
      <c r="D103" s="53">
        <f>0.149*28</f>
        <v>4.1719999999999997</v>
      </c>
      <c r="E103" s="123" t="s">
        <v>132</v>
      </c>
      <c r="F103" s="123"/>
      <c r="G103" s="123"/>
      <c r="H103" s="123"/>
      <c r="I103" s="60"/>
      <c r="J103" s="60"/>
      <c r="K103" s="123"/>
      <c r="L103" s="72"/>
    </row>
    <row r="104" spans="1:240" ht="13.5">
      <c r="B104" s="50" t="s">
        <v>105</v>
      </c>
      <c r="C104" s="51"/>
      <c r="D104" s="54">
        <f>D103/14.21*100</f>
        <v>29.359605911330043</v>
      </c>
      <c r="E104" s="123" t="s">
        <v>44</v>
      </c>
      <c r="F104" s="123"/>
      <c r="G104" s="123"/>
      <c r="H104" s="123"/>
      <c r="I104" s="60"/>
      <c r="J104" s="60"/>
      <c r="K104" s="123"/>
      <c r="L104" s="72"/>
    </row>
    <row r="105" spans="1:240" ht="13.5">
      <c r="B105" s="50" t="s">
        <v>213</v>
      </c>
      <c r="C105" s="49"/>
      <c r="D105" s="55">
        <v>33000</v>
      </c>
      <c r="E105" s="123" t="s">
        <v>324</v>
      </c>
      <c r="F105" s="123"/>
      <c r="G105" s="123"/>
      <c r="H105" s="123"/>
      <c r="I105" s="60"/>
      <c r="J105" s="60"/>
      <c r="K105" s="123"/>
      <c r="L105" s="72"/>
    </row>
    <row r="106" spans="1:240" s="56" customFormat="1">
      <c r="D106" s="57"/>
      <c r="E106" s="58"/>
      <c r="F106" s="59"/>
      <c r="G106" s="59"/>
      <c r="H106" s="60"/>
      <c r="I106" s="60"/>
      <c r="J106" s="60"/>
      <c r="S106" s="17"/>
      <c r="W106" s="17"/>
      <c r="X106" s="17"/>
    </row>
    <row r="107" spans="1:240" s="31" customFormat="1" ht="25.5">
      <c r="B107" s="186" t="str">
        <f>B$40</f>
        <v>Pozo de</v>
      </c>
      <c r="C107" s="186" t="str">
        <f>C$40</f>
        <v>Pozo a</v>
      </c>
      <c r="D107" s="186" t="s">
        <v>130</v>
      </c>
      <c r="E107" s="186" t="s">
        <v>208</v>
      </c>
      <c r="F107" s="186" t="str">
        <f>I40</f>
        <v>Ancho zanja
Bd (m)</v>
      </c>
      <c r="G107" s="142" t="s">
        <v>212</v>
      </c>
      <c r="H107" s="143" t="s">
        <v>46</v>
      </c>
      <c r="I107" s="186" t="s">
        <v>226</v>
      </c>
      <c r="J107" s="185" t="s">
        <v>47</v>
      </c>
      <c r="K107" s="186" t="s">
        <v>227</v>
      </c>
      <c r="L107" s="144" t="s">
        <v>228</v>
      </c>
      <c r="N107" s="17" t="s">
        <v>50</v>
      </c>
      <c r="O107" s="17" t="s">
        <v>51</v>
      </c>
      <c r="P107" s="61"/>
      <c r="Q107" s="61"/>
      <c r="R107" s="61"/>
      <c r="S107" s="61"/>
      <c r="T107" s="61"/>
      <c r="U107" s="61"/>
      <c r="V107" s="17"/>
      <c r="W107" s="17"/>
      <c r="X107" s="61"/>
      <c r="Y107" s="61"/>
    </row>
    <row r="108" spans="1:240" s="74" customFormat="1">
      <c r="B108" s="140" t="str">
        <f t="shared" ref="B108:D111" si="18">+B67</f>
        <v>PV-05</v>
      </c>
      <c r="C108" s="140" t="str">
        <f t="shared" si="18"/>
        <v xml:space="preserve">PV-06 </v>
      </c>
      <c r="D108" s="135">
        <f t="shared" si="18"/>
        <v>8.5</v>
      </c>
      <c r="E108" s="135">
        <f>+F67</f>
        <v>0.2732</v>
      </c>
      <c r="F108" s="135">
        <f>+H67</f>
        <v>1</v>
      </c>
      <c r="G108" s="135">
        <f>K41+L67</f>
        <v>31.829193933944374</v>
      </c>
      <c r="H108" s="132">
        <v>0.105</v>
      </c>
      <c r="I108" s="156">
        <v>14000</v>
      </c>
      <c r="J108" s="52">
        <v>1.0900000000000001</v>
      </c>
      <c r="K108" s="140">
        <f>I108*J108</f>
        <v>15260.000000000002</v>
      </c>
      <c r="L108" s="135">
        <f>(($D$100*H108*G108)/(IF(E108&lt;=0.5,$D$102,$D$104)+(0.061*K108)))*100</f>
        <v>0.50605264667301753</v>
      </c>
      <c r="M108" s="81"/>
      <c r="N108" s="81">
        <f t="shared" ref="N108:N110" si="19">$D$105/I108</f>
        <v>2.3571428571428572</v>
      </c>
      <c r="O108" s="81">
        <f t="shared" ref="O108:O110" si="20">F108/E108</f>
        <v>3.6603221083455346</v>
      </c>
      <c r="P108" s="82"/>
      <c r="Q108" s="82"/>
      <c r="R108" s="83"/>
      <c r="S108" s="82"/>
      <c r="T108" s="83"/>
      <c r="U108" s="83"/>
      <c r="V108" s="83"/>
      <c r="W108" s="83"/>
      <c r="X108" s="84"/>
      <c r="Y108" s="84"/>
    </row>
    <row r="109" spans="1:240" s="74" customFormat="1">
      <c r="B109" s="140" t="str">
        <f t="shared" si="18"/>
        <v>PV-06</v>
      </c>
      <c r="C109" s="140">
        <f t="shared" si="18"/>
        <v>79268</v>
      </c>
      <c r="D109" s="135">
        <f t="shared" si="18"/>
        <v>7.2</v>
      </c>
      <c r="E109" s="135">
        <f>+F68</f>
        <v>0.2732</v>
      </c>
      <c r="F109" s="135">
        <f>+H68</f>
        <v>1</v>
      </c>
      <c r="G109" s="135">
        <f>K42+L68</f>
        <v>34.033556895008786</v>
      </c>
      <c r="H109" s="132">
        <v>0.105</v>
      </c>
      <c r="I109" s="156">
        <v>14000</v>
      </c>
      <c r="J109" s="52">
        <v>1.0900000000000001</v>
      </c>
      <c r="K109" s="140">
        <f t="shared" ref="K109:K110" si="21">I109*J109</f>
        <v>15260.000000000002</v>
      </c>
      <c r="L109" s="135">
        <f t="shared" ref="L109:L110" si="22">(($D$100*H109*G109)/(IF(E109&lt;=0.5,$D$102,$D$104)+(0.061*K109)))*100</f>
        <v>0.54109983363570591</v>
      </c>
      <c r="M109" s="81"/>
      <c r="N109" s="81">
        <f t="shared" si="19"/>
        <v>2.3571428571428572</v>
      </c>
      <c r="O109" s="81">
        <f t="shared" si="20"/>
        <v>3.6603221083455346</v>
      </c>
      <c r="P109" s="82"/>
      <c r="Q109" s="82"/>
      <c r="R109" s="83"/>
      <c r="S109" s="82"/>
      <c r="T109" s="83"/>
      <c r="U109" s="83"/>
      <c r="V109" s="83"/>
      <c r="W109" s="83"/>
      <c r="X109" s="84"/>
      <c r="Y109" s="84"/>
    </row>
    <row r="110" spans="1:240" s="74" customFormat="1">
      <c r="B110" s="140" t="str">
        <f t="shared" si="18"/>
        <v>CR-13</v>
      </c>
      <c r="C110" s="140" t="str">
        <f t="shared" si="18"/>
        <v>CS-04</v>
      </c>
      <c r="D110" s="135">
        <f t="shared" si="18"/>
        <v>7.3</v>
      </c>
      <c r="E110" s="135">
        <f>+F69</f>
        <v>0.2732</v>
      </c>
      <c r="F110" s="135">
        <f>+H69</f>
        <v>1</v>
      </c>
      <c r="G110" s="135">
        <f>K43+L69</f>
        <v>34.147727548043854</v>
      </c>
      <c r="H110" s="132">
        <v>0.105</v>
      </c>
      <c r="I110" s="156">
        <v>14000</v>
      </c>
      <c r="J110" s="52">
        <v>1.0900000000000001</v>
      </c>
      <c r="K110" s="140">
        <f t="shared" si="21"/>
        <v>15260.000000000002</v>
      </c>
      <c r="L110" s="135">
        <f t="shared" si="22"/>
        <v>0.54291503389684626</v>
      </c>
      <c r="M110" s="81"/>
      <c r="N110" s="81">
        <f t="shared" si="19"/>
        <v>2.3571428571428572</v>
      </c>
      <c r="O110" s="81">
        <f t="shared" si="20"/>
        <v>3.6603221083455346</v>
      </c>
      <c r="P110" s="82"/>
      <c r="Q110" s="82"/>
      <c r="R110" s="83"/>
      <c r="S110" s="82"/>
      <c r="T110" s="83"/>
      <c r="U110" s="83"/>
      <c r="V110" s="83"/>
      <c r="W110" s="83"/>
      <c r="X110" s="84"/>
      <c r="Y110" s="84"/>
    </row>
    <row r="111" spans="1:240" s="74" customFormat="1">
      <c r="B111" s="140" t="str">
        <f t="shared" si="18"/>
        <v>CS-04</v>
      </c>
      <c r="C111" s="140" t="str">
        <f t="shared" si="18"/>
        <v>PV-05</v>
      </c>
      <c r="D111" s="135">
        <f t="shared" si="18"/>
        <v>4.8</v>
      </c>
      <c r="E111" s="135">
        <f>+F70</f>
        <v>0.2732</v>
      </c>
      <c r="F111" s="135">
        <f>+H70</f>
        <v>1</v>
      </c>
      <c r="G111" s="135">
        <f>K44+L70</f>
        <v>32.633145828646192</v>
      </c>
      <c r="H111" s="132">
        <v>0.105</v>
      </c>
      <c r="I111" s="156">
        <v>14000</v>
      </c>
      <c r="J111" s="52">
        <v>1.0900000000000001</v>
      </c>
      <c r="K111" s="140">
        <f t="shared" ref="K111" si="23">I111*J111</f>
        <v>15260.000000000002</v>
      </c>
      <c r="L111" s="135">
        <f t="shared" ref="L111" si="24">(($D$100*H111*G111)/(IF(E111&lt;=0.5,$D$102,$D$104)+(0.061*K111)))*100</f>
        <v>0.51883468523032339</v>
      </c>
      <c r="M111" s="81"/>
      <c r="N111" s="81">
        <f t="shared" ref="N111" si="25">$D$105/I111</f>
        <v>2.3571428571428572</v>
      </c>
      <c r="O111" s="81">
        <f t="shared" ref="O111" si="26">F111/E111</f>
        <v>3.6603221083455346</v>
      </c>
      <c r="P111" s="82"/>
      <c r="Q111" s="82"/>
      <c r="R111" s="83"/>
      <c r="S111" s="82"/>
      <c r="T111" s="83"/>
      <c r="U111" s="83"/>
      <c r="V111" s="83"/>
      <c r="W111" s="83"/>
      <c r="X111" s="84"/>
      <c r="Y111" s="84"/>
    </row>
    <row r="112" spans="1:240" s="74" customFormat="1" ht="11.25">
      <c r="N112" s="81"/>
      <c r="O112" s="81"/>
      <c r="P112" s="82"/>
      <c r="Q112" s="82"/>
      <c r="R112" s="83"/>
      <c r="S112" s="82"/>
      <c r="T112" s="83"/>
      <c r="U112" s="83"/>
      <c r="V112" s="83"/>
      <c r="W112" s="83"/>
      <c r="X112" s="84"/>
      <c r="Y112" s="84"/>
    </row>
    <row r="113" spans="1:23" ht="33" customHeight="1">
      <c r="A113" s="288" t="s">
        <v>106</v>
      </c>
      <c r="B113" s="288"/>
      <c r="C113" s="288"/>
      <c r="D113" s="288"/>
      <c r="E113" s="288"/>
      <c r="F113" s="288"/>
      <c r="G113" s="288"/>
      <c r="H113" s="288"/>
      <c r="I113" s="288"/>
      <c r="J113" s="288"/>
      <c r="K113" s="288"/>
      <c r="L113" s="288"/>
      <c r="M113" s="288"/>
      <c r="V113" s="83"/>
      <c r="W113" s="83"/>
    </row>
    <row r="114" spans="1:23">
      <c r="N114" s="198" t="s">
        <v>50</v>
      </c>
      <c r="O114" s="198" t="s">
        <v>47</v>
      </c>
      <c r="Q114" s="235" t="s">
        <v>50</v>
      </c>
      <c r="R114" s="235" t="s">
        <v>47</v>
      </c>
      <c r="T114" s="235" t="s">
        <v>51</v>
      </c>
      <c r="U114" s="235" t="s">
        <v>47</v>
      </c>
      <c r="V114" s="83"/>
      <c r="W114" s="83"/>
    </row>
    <row r="115" spans="1:23">
      <c r="A115" s="19" t="s">
        <v>60</v>
      </c>
      <c r="N115" s="235">
        <v>2</v>
      </c>
      <c r="O115" s="235">
        <v>1.1000000000000001</v>
      </c>
      <c r="Q115" s="235">
        <v>2</v>
      </c>
      <c r="R115" s="235">
        <v>1.05</v>
      </c>
      <c r="T115" s="235">
        <v>3</v>
      </c>
      <c r="U115" s="235">
        <f>+O116</f>
        <v>1.1359999999999999</v>
      </c>
      <c r="V115" s="83"/>
      <c r="W115" s="83"/>
    </row>
    <row r="116" spans="1:23">
      <c r="N116" s="236">
        <v>2.36</v>
      </c>
      <c r="O116" s="237">
        <v>1.1359999999999999</v>
      </c>
      <c r="Q116" s="236">
        <v>2.36</v>
      </c>
      <c r="R116" s="237">
        <v>1.0680000000000001</v>
      </c>
      <c r="T116" s="236">
        <v>3.66</v>
      </c>
      <c r="U116" s="238">
        <v>1.0900000000000001</v>
      </c>
      <c r="V116" s="83"/>
      <c r="W116" s="83"/>
    </row>
    <row r="117" spans="1:23">
      <c r="A117" s="298" t="s">
        <v>115</v>
      </c>
      <c r="B117" s="298"/>
      <c r="C117" s="298"/>
      <c r="D117" s="298"/>
      <c r="E117" s="298"/>
      <c r="F117" s="298"/>
      <c r="G117" s="298"/>
      <c r="H117" s="298"/>
      <c r="I117" s="298"/>
      <c r="J117" s="298"/>
      <c r="K117" s="298"/>
      <c r="L117" s="298"/>
      <c r="M117" s="298"/>
      <c r="N117" s="235">
        <v>3</v>
      </c>
      <c r="O117" s="235">
        <v>1.2</v>
      </c>
      <c r="Q117" s="235">
        <v>3</v>
      </c>
      <c r="R117" s="235">
        <v>1.1000000000000001</v>
      </c>
      <c r="T117" s="235">
        <v>4</v>
      </c>
      <c r="U117" s="235">
        <f>+R116</f>
        <v>1.0680000000000001</v>
      </c>
    </row>
    <row r="118" spans="1:23">
      <c r="A118" s="298"/>
      <c r="B118" s="298"/>
      <c r="C118" s="298"/>
      <c r="D118" s="298"/>
      <c r="E118" s="298"/>
      <c r="F118" s="298"/>
      <c r="G118" s="298"/>
      <c r="H118" s="298"/>
      <c r="I118" s="298"/>
      <c r="J118" s="298"/>
      <c r="K118" s="298"/>
      <c r="L118" s="298"/>
      <c r="M118" s="298"/>
      <c r="N118" s="301" t="s">
        <v>327</v>
      </c>
      <c r="O118" s="301"/>
      <c r="Q118" s="293" t="s">
        <v>328</v>
      </c>
      <c r="R118" s="294"/>
      <c r="T118" s="293"/>
      <c r="U118" s="294"/>
    </row>
    <row r="124" spans="1:23">
      <c r="C124" s="17" t="s">
        <v>2</v>
      </c>
    </row>
    <row r="125" spans="1:23">
      <c r="C125" s="62" t="s">
        <v>61</v>
      </c>
      <c r="D125" s="17" t="s">
        <v>216</v>
      </c>
    </row>
    <row r="126" spans="1:23">
      <c r="C126" s="62"/>
      <c r="D126" s="17" t="s">
        <v>214</v>
      </c>
    </row>
    <row r="127" spans="1:23">
      <c r="C127" s="62"/>
      <c r="D127" s="17" t="s">
        <v>215</v>
      </c>
    </row>
    <row r="128" spans="1:23">
      <c r="C128" s="62" t="s">
        <v>62</v>
      </c>
      <c r="D128" s="17" t="s">
        <v>217</v>
      </c>
    </row>
    <row r="129" spans="2:24">
      <c r="C129" s="62"/>
      <c r="D129" s="17" t="s">
        <v>219</v>
      </c>
    </row>
    <row r="130" spans="2:24">
      <c r="C130" s="62"/>
      <c r="D130" s="17" t="s">
        <v>218</v>
      </c>
    </row>
    <row r="131" spans="2:24">
      <c r="C131" s="62" t="s">
        <v>63</v>
      </c>
      <c r="D131" s="17" t="s">
        <v>220</v>
      </c>
    </row>
    <row r="132" spans="2:24">
      <c r="C132" s="62" t="s">
        <v>64</v>
      </c>
      <c r="D132" s="17" t="s">
        <v>65</v>
      </c>
    </row>
    <row r="133" spans="2:24" ht="17.25" customHeight="1">
      <c r="C133" s="62"/>
      <c r="D133" s="17" t="s">
        <v>107</v>
      </c>
    </row>
    <row r="134" spans="2:24">
      <c r="C134" s="62" t="s">
        <v>66</v>
      </c>
      <c r="D134" s="17" t="s">
        <v>221</v>
      </c>
    </row>
    <row r="135" spans="2:24">
      <c r="C135" s="62"/>
      <c r="D135" s="56"/>
    </row>
    <row r="136" spans="2:24" ht="13.5">
      <c r="D136" s="48" t="s">
        <v>108</v>
      </c>
      <c r="E136" s="49"/>
      <c r="F136" s="53">
        <f>D102/8</f>
        <v>7.4709711470795206</v>
      </c>
      <c r="G136" s="123" t="str">
        <f>E102</f>
        <v>Para tuberías PVC Novafort</v>
      </c>
      <c r="H136" s="72"/>
      <c r="I136" s="60"/>
      <c r="J136" s="72"/>
    </row>
    <row r="137" spans="2:24" ht="13.5">
      <c r="D137" s="48" t="s">
        <v>108</v>
      </c>
      <c r="E137" s="49"/>
      <c r="F137" s="53">
        <f>D104/8</f>
        <v>3.6699507389162553</v>
      </c>
      <c r="G137" s="123" t="s">
        <v>44</v>
      </c>
      <c r="H137" s="72"/>
      <c r="I137" s="60"/>
      <c r="J137" s="72"/>
    </row>
    <row r="138" spans="2:24">
      <c r="D138" s="48" t="s">
        <v>67</v>
      </c>
      <c r="E138" s="49"/>
      <c r="F138" s="53">
        <v>6</v>
      </c>
      <c r="G138" s="72" t="s">
        <v>68</v>
      </c>
      <c r="H138" s="72"/>
      <c r="I138" s="72"/>
      <c r="J138" s="72"/>
    </row>
    <row r="140" spans="2:24" s="31" customFormat="1" ht="13.5">
      <c r="B140" s="274" t="str">
        <f>B$40</f>
        <v>Pozo de</v>
      </c>
      <c r="C140" s="274" t="str">
        <f>C$40</f>
        <v>Pozo a</v>
      </c>
      <c r="D140" s="274" t="s">
        <v>130</v>
      </c>
      <c r="E140" s="274" t="s">
        <v>208</v>
      </c>
      <c r="F140" s="274" t="s">
        <v>207</v>
      </c>
      <c r="G140" s="186" t="s">
        <v>9</v>
      </c>
      <c r="H140" s="186" t="s">
        <v>45</v>
      </c>
      <c r="I140" s="274" t="s">
        <v>69</v>
      </c>
      <c r="J140" s="274" t="s">
        <v>70</v>
      </c>
      <c r="K140" s="274" t="s">
        <v>71</v>
      </c>
      <c r="L140" s="186" t="s">
        <v>229</v>
      </c>
      <c r="W140" s="17"/>
      <c r="X140" s="17"/>
    </row>
    <row r="141" spans="2:24">
      <c r="B141" s="275"/>
      <c r="C141" s="275"/>
      <c r="D141" s="275"/>
      <c r="E141" s="287"/>
      <c r="F141" s="287"/>
      <c r="G141" s="146" t="s">
        <v>16</v>
      </c>
      <c r="H141" s="147" t="s">
        <v>49</v>
      </c>
      <c r="I141" s="275"/>
      <c r="J141" s="275"/>
      <c r="K141" s="275"/>
      <c r="L141" s="187" t="s">
        <v>72</v>
      </c>
    </row>
    <row r="142" spans="2:24" s="74" customFormat="1">
      <c r="B142" s="140" t="str">
        <f t="shared" ref="B142:E145" si="27">+B108</f>
        <v>PV-05</v>
      </c>
      <c r="C142" s="140" t="str">
        <f t="shared" si="27"/>
        <v xml:space="preserve">PV-06 </v>
      </c>
      <c r="D142" s="135">
        <f t="shared" si="27"/>
        <v>8.5</v>
      </c>
      <c r="E142" s="135">
        <f t="shared" si="27"/>
        <v>0.2732</v>
      </c>
      <c r="F142" s="135">
        <f>+G67</f>
        <v>1.4</v>
      </c>
      <c r="G142" s="135">
        <f t="shared" ref="G142:H145" si="28">+F108</f>
        <v>1</v>
      </c>
      <c r="H142" s="135">
        <f t="shared" si="28"/>
        <v>31.829193933944374</v>
      </c>
      <c r="I142" s="28">
        <f>IF(F142/E142&gt;=2,2.5,3)</f>
        <v>2.5</v>
      </c>
      <c r="J142" s="28">
        <f t="shared" ref="J142:J144" si="29">IF($F$138&lt;=F142,1-0.33*($F$138/F142),1)</f>
        <v>1</v>
      </c>
      <c r="K142" s="135">
        <f>1/(1+4*EXP(-0.2133*F142))</f>
        <v>0.25205646427699829</v>
      </c>
      <c r="L142" s="135">
        <f>1/I142*SQRT(32*J142*K142*K108*IF(E142&lt;=0.5,$F$136,$F$137))</f>
        <v>383.57447282375665</v>
      </c>
      <c r="W142" s="76"/>
      <c r="X142" s="76"/>
    </row>
    <row r="143" spans="2:24" s="74" customFormat="1">
      <c r="B143" s="140" t="str">
        <f t="shared" si="27"/>
        <v>PV-06</v>
      </c>
      <c r="C143" s="140">
        <f t="shared" si="27"/>
        <v>79268</v>
      </c>
      <c r="D143" s="135">
        <f t="shared" si="27"/>
        <v>7.2</v>
      </c>
      <c r="E143" s="135">
        <f t="shared" si="27"/>
        <v>0.2732</v>
      </c>
      <c r="F143" s="135">
        <f>+G68</f>
        <v>1.1599999999999999</v>
      </c>
      <c r="G143" s="135">
        <f t="shared" si="28"/>
        <v>1</v>
      </c>
      <c r="H143" s="135">
        <f t="shared" si="28"/>
        <v>34.033556895008786</v>
      </c>
      <c r="I143" s="28">
        <f t="shared" ref="I143:I144" si="30">IF(F143/E143&gt;=2,2.5,3)</f>
        <v>2.5</v>
      </c>
      <c r="J143" s="28">
        <f t="shared" si="29"/>
        <v>1</v>
      </c>
      <c r="K143" s="135">
        <f t="shared" ref="K143:K144" si="31">1/(1+4*EXP(-0.2133*F143))</f>
        <v>0.24252855925485389</v>
      </c>
      <c r="L143" s="135">
        <f>1/I143*SQRT(32*J143*K143*K109*IF(E143&lt;=0.5,$F$136,$F$137))</f>
        <v>376.25494834931101</v>
      </c>
      <c r="W143" s="76"/>
      <c r="X143" s="76"/>
    </row>
    <row r="144" spans="2:24" s="74" customFormat="1">
      <c r="B144" s="140" t="str">
        <f t="shared" si="27"/>
        <v>CR-13</v>
      </c>
      <c r="C144" s="140" t="str">
        <f t="shared" si="27"/>
        <v>CS-04</v>
      </c>
      <c r="D144" s="135">
        <f t="shared" si="27"/>
        <v>7.3</v>
      </c>
      <c r="E144" s="135">
        <f t="shared" si="27"/>
        <v>0.2732</v>
      </c>
      <c r="F144" s="135">
        <f>+G69</f>
        <v>1.1499999999999999</v>
      </c>
      <c r="G144" s="135">
        <f t="shared" si="28"/>
        <v>1</v>
      </c>
      <c r="H144" s="135">
        <f t="shared" si="28"/>
        <v>34.147727548043854</v>
      </c>
      <c r="I144" s="28">
        <f t="shared" si="30"/>
        <v>2.5</v>
      </c>
      <c r="J144" s="28">
        <f t="shared" si="29"/>
        <v>1</v>
      </c>
      <c r="K144" s="135">
        <f t="shared" si="31"/>
        <v>0.2421369243447678</v>
      </c>
      <c r="L144" s="135">
        <f>1/I144*SQRT(32*J144*K144*K110*IF(E144&lt;=0.5,$F$136,$F$137))</f>
        <v>375.9510375265877</v>
      </c>
      <c r="W144" s="76"/>
      <c r="X144" s="76"/>
    </row>
    <row r="145" spans="1:24" s="74" customFormat="1">
      <c r="B145" s="140" t="str">
        <f t="shared" si="27"/>
        <v>CS-04</v>
      </c>
      <c r="C145" s="140" t="str">
        <f t="shared" si="27"/>
        <v>PV-05</v>
      </c>
      <c r="D145" s="135">
        <f t="shared" si="27"/>
        <v>4.8</v>
      </c>
      <c r="E145" s="135">
        <f t="shared" si="27"/>
        <v>0.2732</v>
      </c>
      <c r="F145" s="135">
        <f>+G70</f>
        <v>1.3</v>
      </c>
      <c r="G145" s="135">
        <f t="shared" si="28"/>
        <v>1</v>
      </c>
      <c r="H145" s="135">
        <f t="shared" si="28"/>
        <v>32.633145828646192</v>
      </c>
      <c r="I145" s="28">
        <f t="shared" ref="I145" si="32">IF(F145/E145&gt;=2,2.5,3)</f>
        <v>2.5</v>
      </c>
      <c r="J145" s="28">
        <f t="shared" ref="J145" si="33">IF($F$138&lt;=F145,1-0.33*($F$138/F145),1)</f>
        <v>1</v>
      </c>
      <c r="K145" s="135">
        <f t="shared" ref="K145" si="34">1/(1+4*EXP(-0.2133*F145))</f>
        <v>0.24805655301596624</v>
      </c>
      <c r="L145" s="135">
        <f>1/I145*SQRT(32*J145*K145*K111*IF(E145&lt;=0.5,$F$136,$F$137))</f>
        <v>380.51880930753765</v>
      </c>
      <c r="W145" s="76"/>
      <c r="X145" s="76"/>
    </row>
    <row r="146" spans="1:24" s="74" customFormat="1"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</row>
    <row r="147" spans="1:24">
      <c r="A147" s="17" t="s">
        <v>73</v>
      </c>
      <c r="H147" s="63"/>
    </row>
    <row r="148" spans="1:24">
      <c r="H148" s="63"/>
    </row>
    <row r="149" spans="1:24">
      <c r="H149" s="63"/>
    </row>
    <row r="150" spans="1:24">
      <c r="H150" s="63"/>
    </row>
    <row r="151" spans="1:24">
      <c r="H151" s="63"/>
    </row>
    <row r="152" spans="1:24">
      <c r="H152" s="63"/>
    </row>
    <row r="154" spans="1:24" s="31" customFormat="1" ht="27" customHeight="1">
      <c r="C154" s="186" t="str">
        <f>B$40</f>
        <v>Pozo de</v>
      </c>
      <c r="D154" s="186" t="str">
        <f>C$40</f>
        <v>Pozo a</v>
      </c>
      <c r="E154" s="186" t="s">
        <v>222</v>
      </c>
      <c r="F154" s="185" t="s">
        <v>204</v>
      </c>
      <c r="G154" s="186" t="s">
        <v>207</v>
      </c>
      <c r="H154" s="186" t="s">
        <v>206</v>
      </c>
      <c r="I154" s="186" t="s">
        <v>211</v>
      </c>
      <c r="J154" s="186" t="s">
        <v>230</v>
      </c>
      <c r="K154" s="186" t="s">
        <v>231</v>
      </c>
      <c r="W154" s="17"/>
      <c r="X154" s="17"/>
    </row>
    <row r="155" spans="1:24" s="74" customFormat="1">
      <c r="C155" s="135" t="str">
        <f t="shared" ref="C155:G156" si="35">+B142</f>
        <v>PV-05</v>
      </c>
      <c r="D155" s="135" t="str">
        <f t="shared" si="35"/>
        <v xml:space="preserve">PV-06 </v>
      </c>
      <c r="E155" s="135">
        <f t="shared" si="35"/>
        <v>8.5</v>
      </c>
      <c r="F155" s="135">
        <f t="shared" si="35"/>
        <v>0.2732</v>
      </c>
      <c r="G155" s="135">
        <f t="shared" si="35"/>
        <v>1.4</v>
      </c>
      <c r="H155" s="135">
        <f>+K41</f>
        <v>7.6495999999999995</v>
      </c>
      <c r="I155" s="135">
        <f>+L67</f>
        <v>24.179593933944375</v>
      </c>
      <c r="J155" s="135">
        <f>10*IF(G155&gt;$F$138,G155-$F$138,0)+(J142*H155/F155)+I155/F155</f>
        <v>116.50510224723416</v>
      </c>
      <c r="K155" s="135" t="str">
        <f>IF(J155&lt;L142,"OK","NO CUMPLE")</f>
        <v>OK</v>
      </c>
    </row>
    <row r="156" spans="1:24" s="74" customFormat="1">
      <c r="C156" s="135" t="str">
        <f t="shared" si="35"/>
        <v>PV-06</v>
      </c>
      <c r="D156" s="135">
        <f t="shared" si="35"/>
        <v>79268</v>
      </c>
      <c r="E156" s="135">
        <f t="shared" si="35"/>
        <v>7.2</v>
      </c>
      <c r="F156" s="135">
        <f t="shared" si="35"/>
        <v>0.2732</v>
      </c>
      <c r="G156" s="135">
        <f t="shared" si="35"/>
        <v>1.1599999999999999</v>
      </c>
      <c r="H156" s="135">
        <f>+K42</f>
        <v>6.338239999999999</v>
      </c>
      <c r="I156" s="135">
        <f>+L68</f>
        <v>27.695316895008787</v>
      </c>
      <c r="J156" s="135">
        <f>10*IF(G156&gt;$F$138,G156-$F$138,0)+(J143*H156/F156)+I156/F156</f>
        <v>124.57378072843625</v>
      </c>
      <c r="K156" s="135" t="str">
        <f>IF(J156&lt;L143,"OK","NO CUMPLE")</f>
        <v>OK</v>
      </c>
    </row>
    <row r="157" spans="1:24" s="74" customFormat="1">
      <c r="C157" s="135" t="str">
        <f t="shared" ref="C157:G158" si="36">+B144</f>
        <v>CR-13</v>
      </c>
      <c r="D157" s="135" t="str">
        <f t="shared" si="36"/>
        <v>CS-04</v>
      </c>
      <c r="E157" s="135">
        <f t="shared" si="36"/>
        <v>7.3</v>
      </c>
      <c r="F157" s="135">
        <f t="shared" si="36"/>
        <v>0.2732</v>
      </c>
      <c r="G157" s="135">
        <f t="shared" si="36"/>
        <v>1.1499999999999999</v>
      </c>
      <c r="H157" s="135">
        <f>+K43</f>
        <v>6.283599999999999</v>
      </c>
      <c r="I157" s="135">
        <f t="shared" ref="I157" si="37">+L69</f>
        <v>27.864127548043854</v>
      </c>
      <c r="J157" s="135">
        <f>10*IF(G157&gt;$F$138,G157-$F$138,0)+(J144*H157/F157)+I157/F157</f>
        <v>124.99168209386477</v>
      </c>
      <c r="K157" s="135" t="str">
        <f>IF(J157&lt;L144,"OK","NO CUMPLE")</f>
        <v>OK</v>
      </c>
    </row>
    <row r="158" spans="1:24" s="74" customFormat="1">
      <c r="C158" s="135" t="str">
        <f t="shared" si="36"/>
        <v>CS-04</v>
      </c>
      <c r="D158" s="135" t="str">
        <f t="shared" si="36"/>
        <v>PV-05</v>
      </c>
      <c r="E158" s="135">
        <f t="shared" si="36"/>
        <v>4.8</v>
      </c>
      <c r="F158" s="135">
        <f t="shared" si="36"/>
        <v>0.2732</v>
      </c>
      <c r="G158" s="135">
        <f t="shared" si="36"/>
        <v>1.3</v>
      </c>
      <c r="H158" s="135">
        <f>+K44</f>
        <v>7.1032000000000002</v>
      </c>
      <c r="I158" s="135">
        <f t="shared" ref="I158" si="38">+L70</f>
        <v>25.529945828646195</v>
      </c>
      <c r="J158" s="135">
        <f>10*IF(G158&gt;$F$138,G158-$F$138,0)+(J145*H158/F158)+I158/F158</f>
        <v>119.44782514145753</v>
      </c>
      <c r="K158" s="135" t="str">
        <f>IF(J158&lt;L145,"OK","NO CUMPLE")</f>
        <v>OK</v>
      </c>
    </row>
    <row r="159" spans="1:24" s="74" customFormat="1" ht="11.25"/>
    <row r="160" spans="1:24">
      <c r="A160" s="64" t="s">
        <v>74</v>
      </c>
      <c r="B160" s="65"/>
      <c r="C160" s="65"/>
      <c r="D160" s="65"/>
      <c r="E160" s="65"/>
      <c r="F160" s="65"/>
      <c r="G160" s="65"/>
    </row>
    <row r="161" spans="1:22">
      <c r="A161" s="65"/>
      <c r="B161" s="65"/>
      <c r="C161" s="65"/>
      <c r="D161" s="65"/>
      <c r="E161" s="65"/>
      <c r="F161" s="65"/>
      <c r="G161" s="65"/>
    </row>
    <row r="162" spans="1:22">
      <c r="A162" s="65" t="s">
        <v>109</v>
      </c>
      <c r="B162" s="65"/>
      <c r="C162" s="65"/>
      <c r="D162" s="65"/>
      <c r="E162" s="65"/>
      <c r="F162" s="65"/>
      <c r="G162" s="65"/>
    </row>
    <row r="163" spans="1:22">
      <c r="A163" s="65"/>
      <c r="B163" s="65"/>
      <c r="C163" s="65"/>
      <c r="D163" s="65"/>
      <c r="E163" s="65"/>
      <c r="F163" s="65"/>
      <c r="G163" s="65"/>
    </row>
    <row r="164" spans="1:22">
      <c r="A164" s="1"/>
      <c r="B164" s="65"/>
      <c r="C164" s="65"/>
      <c r="D164" s="65"/>
      <c r="E164" s="65"/>
      <c r="F164" s="65"/>
      <c r="G164" s="65"/>
    </row>
    <row r="165" spans="1:22">
      <c r="A165" s="65"/>
      <c r="B165" s="65"/>
      <c r="C165" s="65"/>
      <c r="D165" s="65"/>
      <c r="E165" s="65"/>
      <c r="F165" s="65"/>
      <c r="G165" s="65"/>
    </row>
    <row r="166" spans="1:22">
      <c r="A166" s="65"/>
      <c r="B166" s="65"/>
      <c r="C166" s="65"/>
      <c r="D166" s="65"/>
      <c r="E166" s="65"/>
      <c r="F166" s="65"/>
      <c r="G166" s="65"/>
    </row>
    <row r="167" spans="1:22">
      <c r="A167" s="65" t="s">
        <v>2</v>
      </c>
      <c r="B167" s="65"/>
      <c r="C167" s="65"/>
      <c r="D167" s="65"/>
      <c r="E167" s="65"/>
      <c r="F167" s="65"/>
      <c r="G167" s="65"/>
    </row>
    <row r="168" spans="1:22" ht="13.5">
      <c r="A168" s="65"/>
      <c r="B168" s="66" t="s">
        <v>110</v>
      </c>
      <c r="C168" s="67" t="s">
        <v>75</v>
      </c>
      <c r="D168" s="67"/>
      <c r="E168" s="65"/>
      <c r="F168" s="65"/>
      <c r="G168" s="65"/>
    </row>
    <row r="169" spans="1:22">
      <c r="A169" s="65"/>
      <c r="B169" s="66" t="s">
        <v>26</v>
      </c>
      <c r="C169" s="67" t="s">
        <v>76</v>
      </c>
      <c r="D169" s="65"/>
      <c r="E169" s="65"/>
      <c r="F169" s="65"/>
      <c r="G169" s="65"/>
    </row>
    <row r="170" spans="1:22" ht="13.5">
      <c r="A170" s="65"/>
      <c r="B170" s="66" t="s">
        <v>77</v>
      </c>
      <c r="C170" s="65" t="s">
        <v>111</v>
      </c>
      <c r="D170" s="65"/>
      <c r="E170" s="65"/>
      <c r="F170" s="65"/>
      <c r="G170" s="65"/>
    </row>
    <row r="171" spans="1:22">
      <c r="A171" s="65"/>
      <c r="B171" s="65"/>
      <c r="C171" s="65"/>
      <c r="D171" s="65"/>
      <c r="E171" s="65"/>
      <c r="F171" s="65"/>
      <c r="G171" s="65"/>
    </row>
    <row r="172" spans="1:22" ht="14.25">
      <c r="A172" s="65" t="s">
        <v>112</v>
      </c>
      <c r="B172" s="65"/>
      <c r="C172" s="65"/>
      <c r="D172" s="65"/>
      <c r="E172" s="65"/>
      <c r="F172" s="65"/>
      <c r="G172" s="65"/>
    </row>
    <row r="173" spans="1:22">
      <c r="B173" s="65"/>
      <c r="C173" s="65"/>
      <c r="D173" s="65"/>
      <c r="E173" s="65"/>
      <c r="F173" s="65"/>
      <c r="G173" s="65"/>
      <c r="H173" s="65"/>
    </row>
    <row r="174" spans="1:22" ht="25.5">
      <c r="D174" s="149" t="str">
        <f>B40</f>
        <v>Pozo de</v>
      </c>
      <c r="E174" s="149" t="str">
        <f>C40</f>
        <v>Pozo a</v>
      </c>
      <c r="F174" s="186" t="str">
        <f>E40</f>
        <v>Diám Nominal (in)</v>
      </c>
      <c r="G174" s="186" t="s">
        <v>208</v>
      </c>
      <c r="H174" s="149" t="s">
        <v>212</v>
      </c>
      <c r="I174" s="150" t="s">
        <v>232</v>
      </c>
      <c r="J174" s="150" t="s">
        <v>233</v>
      </c>
      <c r="O174" s="181"/>
      <c r="P174" s="181"/>
      <c r="Q174" s="181"/>
      <c r="R174" s="181"/>
      <c r="S174" s="181"/>
      <c r="T174" s="181"/>
      <c r="U174" s="181"/>
      <c r="V174" s="181"/>
    </row>
    <row r="175" spans="1:22" s="74" customFormat="1">
      <c r="D175" s="151" t="str">
        <f t="shared" ref="D175:E178" si="39">+C155</f>
        <v>PV-05</v>
      </c>
      <c r="E175" s="151" t="str">
        <f t="shared" si="39"/>
        <v xml:space="preserve">PV-06 </v>
      </c>
      <c r="F175" s="151">
        <f>+E41</f>
        <v>10</v>
      </c>
      <c r="G175" s="152">
        <f>+F155</f>
        <v>0.2732</v>
      </c>
      <c r="H175" s="152">
        <f>+I155+H155</f>
        <v>31.829193933944374</v>
      </c>
      <c r="I175" s="152">
        <f>2*H175/(PI()*G175)</f>
        <v>74.169451672296006</v>
      </c>
      <c r="J175" s="152" t="str">
        <f t="shared" ref="J175:J177" si="40">IF(I175&lt;67500,"OK","Falta")</f>
        <v>OK</v>
      </c>
    </row>
    <row r="176" spans="1:22" s="74" customFormat="1">
      <c r="D176" s="151" t="str">
        <f t="shared" si="39"/>
        <v>PV-06</v>
      </c>
      <c r="E176" s="151">
        <f t="shared" si="39"/>
        <v>79268</v>
      </c>
      <c r="F176" s="151">
        <f>+E42</f>
        <v>10</v>
      </c>
      <c r="G176" s="152">
        <f>+F156</f>
        <v>0.2732</v>
      </c>
      <c r="H176" s="152">
        <f>+I156+H156</f>
        <v>34.033556895008786</v>
      </c>
      <c r="I176" s="152">
        <f t="shared" ref="I176:I177" si="41">2*H176/(PI()*G176)</f>
        <v>79.306131930306094</v>
      </c>
      <c r="J176" s="152" t="str">
        <f t="shared" si="40"/>
        <v>OK</v>
      </c>
    </row>
    <row r="177" spans="1:13" s="74" customFormat="1">
      <c r="D177" s="151" t="str">
        <f t="shared" si="39"/>
        <v>CR-13</v>
      </c>
      <c r="E177" s="151" t="str">
        <f t="shared" si="39"/>
        <v>CS-04</v>
      </c>
      <c r="F177" s="151">
        <f>+E43</f>
        <v>10</v>
      </c>
      <c r="G177" s="152">
        <f>+F157</f>
        <v>0.2732</v>
      </c>
      <c r="H177" s="152">
        <f>+I157+H157</f>
        <v>34.147727548043854</v>
      </c>
      <c r="I177" s="152">
        <f t="shared" si="41"/>
        <v>79.572176202437291</v>
      </c>
      <c r="J177" s="152" t="str">
        <f t="shared" si="40"/>
        <v>OK</v>
      </c>
    </row>
    <row r="178" spans="1:13" s="74" customFormat="1">
      <c r="D178" s="151" t="str">
        <f t="shared" si="39"/>
        <v>CS-04</v>
      </c>
      <c r="E178" s="151" t="str">
        <f t="shared" si="39"/>
        <v>PV-05</v>
      </c>
      <c r="F178" s="151">
        <f>+E44</f>
        <v>10</v>
      </c>
      <c r="G178" s="152">
        <f>+F158</f>
        <v>0.2732</v>
      </c>
      <c r="H178" s="152">
        <f>+I158+H158</f>
        <v>32.633145828646192</v>
      </c>
      <c r="I178" s="152">
        <f t="shared" ref="I178" si="42">2*H178/(PI()*G178)</f>
        <v>76.042847251357344</v>
      </c>
      <c r="J178" s="152" t="str">
        <f t="shared" ref="J178" si="43">IF(I178&lt;67500,"OK","Falta")</f>
        <v>OK</v>
      </c>
    </row>
    <row r="179" spans="1:13" s="74" customFormat="1">
      <c r="D179" s="218"/>
      <c r="E179" s="218"/>
      <c r="F179" s="218"/>
      <c r="G179" s="219"/>
      <c r="H179" s="219"/>
      <c r="I179" s="219"/>
      <c r="J179" s="219"/>
    </row>
    <row r="180" spans="1:13" s="74" customFormat="1">
      <c r="A180" s="64" t="s">
        <v>240</v>
      </c>
    </row>
    <row r="181" spans="1:13" s="74" customFormat="1">
      <c r="A181" s="65"/>
    </row>
    <row r="182" spans="1:13" s="74" customFormat="1" ht="35.25" customHeight="1">
      <c r="A182" s="292" t="s">
        <v>379</v>
      </c>
      <c r="B182" s="292"/>
      <c r="C182" s="292"/>
      <c r="D182" s="292"/>
      <c r="E182" s="292"/>
      <c r="F182" s="292"/>
      <c r="G182" s="292"/>
      <c r="H182" s="292"/>
      <c r="I182" s="292"/>
      <c r="J182" s="292"/>
      <c r="K182" s="292"/>
      <c r="L182" s="292"/>
      <c r="M182" s="292"/>
    </row>
    <row r="183" spans="1:13" s="74" customFormat="1">
      <c r="A183" s="65"/>
    </row>
    <row r="184" spans="1:13" s="74" customFormat="1" ht="11.25">
      <c r="D184" s="286" t="s">
        <v>125</v>
      </c>
      <c r="E184" s="286" t="s">
        <v>126</v>
      </c>
      <c r="F184" s="286" t="s">
        <v>134</v>
      </c>
      <c r="G184" s="274" t="s">
        <v>191</v>
      </c>
      <c r="H184" s="299" t="s">
        <v>135</v>
      </c>
      <c r="I184" s="286" t="s">
        <v>131</v>
      </c>
    </row>
    <row r="185" spans="1:13" s="74" customFormat="1" ht="11.25">
      <c r="D185" s="287"/>
      <c r="E185" s="287"/>
      <c r="F185" s="287"/>
      <c r="G185" s="275"/>
      <c r="H185" s="300"/>
      <c r="I185" s="287"/>
    </row>
    <row r="186" spans="1:13" s="74" customFormat="1">
      <c r="D186" s="90" t="str">
        <f t="shared" ref="D186:E189" si="44">+B67</f>
        <v>PV-05</v>
      </c>
      <c r="E186" s="90" t="str">
        <f t="shared" si="44"/>
        <v xml:space="preserve">PV-06 </v>
      </c>
      <c r="F186" s="21">
        <f>+G67</f>
        <v>1.4</v>
      </c>
      <c r="G186" s="21">
        <f>+P41</f>
        <v>1.7732000000000001</v>
      </c>
      <c r="H186" s="153" t="str">
        <f>+IF(G186&gt;0.5,"NO","SI")</f>
        <v>NO</v>
      </c>
      <c r="I186" s="182" t="s">
        <v>380</v>
      </c>
    </row>
    <row r="187" spans="1:13" s="74" customFormat="1">
      <c r="D187" s="90" t="str">
        <f t="shared" si="44"/>
        <v>PV-06</v>
      </c>
      <c r="E187" s="90">
        <f t="shared" si="44"/>
        <v>79268</v>
      </c>
      <c r="F187" s="21">
        <f>+G68</f>
        <v>1.1599999999999999</v>
      </c>
      <c r="G187" s="21">
        <f>+P42</f>
        <v>1.5331999999999999</v>
      </c>
      <c r="H187" s="153" t="str">
        <f t="shared" ref="H187:H188" si="45">+IF(G187&gt;0.5,"NO","SI")</f>
        <v>NO</v>
      </c>
      <c r="I187" s="248" t="s">
        <v>380</v>
      </c>
    </row>
    <row r="188" spans="1:13" s="74" customFormat="1">
      <c r="D188" s="90" t="str">
        <f t="shared" si="44"/>
        <v>CR-13</v>
      </c>
      <c r="E188" s="90" t="str">
        <f t="shared" si="44"/>
        <v>CS-04</v>
      </c>
      <c r="F188" s="21">
        <f>+G69</f>
        <v>1.1499999999999999</v>
      </c>
      <c r="G188" s="21">
        <f>+P43</f>
        <v>1.5232000000000001</v>
      </c>
      <c r="H188" s="153" t="str">
        <f t="shared" si="45"/>
        <v>NO</v>
      </c>
      <c r="I188" s="248" t="s">
        <v>380</v>
      </c>
    </row>
    <row r="189" spans="1:13" s="74" customFormat="1">
      <c r="D189" s="90" t="str">
        <f t="shared" si="44"/>
        <v>CS-04</v>
      </c>
      <c r="E189" s="90" t="str">
        <f t="shared" si="44"/>
        <v>PV-05</v>
      </c>
      <c r="F189" s="21">
        <f>+G70</f>
        <v>1.3</v>
      </c>
      <c r="G189" s="21">
        <f>+P44</f>
        <v>1.6732</v>
      </c>
      <c r="H189" s="153" t="str">
        <f t="shared" ref="H189" si="46">+IF(G189&gt;0.5,"NO","SI")</f>
        <v>NO</v>
      </c>
      <c r="I189" s="248" t="s">
        <v>380</v>
      </c>
    </row>
    <row r="191" spans="1:13">
      <c r="A191" s="64" t="s">
        <v>398</v>
      </c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</row>
    <row r="192" spans="1:13">
      <c r="A192" s="65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</row>
    <row r="193" spans="1:1">
      <c r="A193" s="17" t="s">
        <v>392</v>
      </c>
    </row>
    <row r="218" spans="2:12">
      <c r="B218" s="279" t="s">
        <v>128</v>
      </c>
      <c r="C218" s="279" t="s">
        <v>129</v>
      </c>
      <c r="D218" s="317" t="s">
        <v>48</v>
      </c>
      <c r="E218" s="317" t="s">
        <v>16</v>
      </c>
      <c r="F218" s="317" t="s">
        <v>134</v>
      </c>
      <c r="G218" s="279" t="s">
        <v>191</v>
      </c>
      <c r="H218" s="279" t="s">
        <v>393</v>
      </c>
      <c r="I218" s="279" t="s">
        <v>394</v>
      </c>
      <c r="J218" s="279" t="s">
        <v>395</v>
      </c>
      <c r="K218" s="279" t="s">
        <v>396</v>
      </c>
      <c r="L218" s="279" t="s">
        <v>397</v>
      </c>
    </row>
    <row r="219" spans="2:12">
      <c r="B219" s="279"/>
      <c r="C219" s="279"/>
      <c r="D219" s="317"/>
      <c r="E219" s="317"/>
      <c r="F219" s="317"/>
      <c r="G219" s="279"/>
      <c r="H219" s="279"/>
      <c r="I219" s="279"/>
      <c r="J219" s="279"/>
      <c r="K219" s="279"/>
      <c r="L219" s="279"/>
    </row>
    <row r="220" spans="2:12">
      <c r="B220" s="90" t="str">
        <f t="shared" ref="B220:C223" si="47">+D186</f>
        <v>PV-05</v>
      </c>
      <c r="C220" s="90" t="str">
        <f t="shared" si="47"/>
        <v xml:space="preserve">PV-06 </v>
      </c>
      <c r="D220" s="21">
        <f>+G175</f>
        <v>0.2732</v>
      </c>
      <c r="E220" s="21">
        <f>+G142</f>
        <v>1</v>
      </c>
      <c r="F220" s="21">
        <f>+F186</f>
        <v>1.4</v>
      </c>
      <c r="G220" s="21">
        <f>+G186</f>
        <v>1.7732000000000001</v>
      </c>
      <c r="H220" s="21">
        <v>0.1</v>
      </c>
      <c r="I220" s="21">
        <f>+D220*0.6</f>
        <v>0.16391999999999998</v>
      </c>
      <c r="J220" s="21">
        <f>(0.4*D220)+0.3</f>
        <v>0.40927999999999998</v>
      </c>
      <c r="K220" s="21">
        <f>G220-J220-I220-H220-L220</f>
        <v>0.60000000000000009</v>
      </c>
      <c r="L220" s="21">
        <v>0.5</v>
      </c>
    </row>
    <row r="221" spans="2:12">
      <c r="B221" s="90" t="str">
        <f t="shared" si="47"/>
        <v>PV-06</v>
      </c>
      <c r="C221" s="90">
        <f t="shared" si="47"/>
        <v>79268</v>
      </c>
      <c r="D221" s="21">
        <f t="shared" ref="D221:D223" si="48">+G176</f>
        <v>0.2732</v>
      </c>
      <c r="E221" s="21">
        <f t="shared" ref="E221:E223" si="49">+G143</f>
        <v>1</v>
      </c>
      <c r="F221" s="21">
        <f t="shared" ref="F221:G221" si="50">+F187</f>
        <v>1.1599999999999999</v>
      </c>
      <c r="G221" s="21">
        <f t="shared" si="50"/>
        <v>1.5331999999999999</v>
      </c>
      <c r="H221" s="21">
        <v>0.1</v>
      </c>
      <c r="I221" s="21">
        <f t="shared" ref="I221:I223" si="51">+D221*0.6</f>
        <v>0.16391999999999998</v>
      </c>
      <c r="J221" s="21">
        <f t="shared" ref="J221:J223" si="52">(0.4*D221)+0.3</f>
        <v>0.40927999999999998</v>
      </c>
      <c r="K221" s="21">
        <f t="shared" ref="K221:K223" si="53">G221-J221-I221-H221-L221</f>
        <v>0.3600000000000001</v>
      </c>
      <c r="L221" s="21">
        <v>0.5</v>
      </c>
    </row>
    <row r="222" spans="2:12">
      <c r="B222" s="90" t="str">
        <f t="shared" si="47"/>
        <v>CR-13</v>
      </c>
      <c r="C222" s="90" t="str">
        <f t="shared" si="47"/>
        <v>CS-04</v>
      </c>
      <c r="D222" s="21">
        <f t="shared" si="48"/>
        <v>0.2732</v>
      </c>
      <c r="E222" s="21">
        <f t="shared" si="49"/>
        <v>1</v>
      </c>
      <c r="F222" s="21">
        <f t="shared" ref="F222:G222" si="54">+F188</f>
        <v>1.1499999999999999</v>
      </c>
      <c r="G222" s="21">
        <f t="shared" si="54"/>
        <v>1.5232000000000001</v>
      </c>
      <c r="H222" s="21">
        <v>0.1</v>
      </c>
      <c r="I222" s="21">
        <f t="shared" si="51"/>
        <v>0.16391999999999998</v>
      </c>
      <c r="J222" s="21">
        <f t="shared" si="52"/>
        <v>0.40927999999999998</v>
      </c>
      <c r="K222" s="21">
        <f t="shared" si="53"/>
        <v>0.35000000000000031</v>
      </c>
      <c r="L222" s="21">
        <v>0.5</v>
      </c>
    </row>
    <row r="223" spans="2:12">
      <c r="B223" s="90" t="str">
        <f t="shared" si="47"/>
        <v>CS-04</v>
      </c>
      <c r="C223" s="90" t="str">
        <f t="shared" si="47"/>
        <v>PV-05</v>
      </c>
      <c r="D223" s="21">
        <f t="shared" si="48"/>
        <v>0.2732</v>
      </c>
      <c r="E223" s="21">
        <f t="shared" si="49"/>
        <v>1</v>
      </c>
      <c r="F223" s="21">
        <f t="shared" ref="F223:G223" si="55">+F189</f>
        <v>1.3</v>
      </c>
      <c r="G223" s="21">
        <f t="shared" si="55"/>
        <v>1.6732</v>
      </c>
      <c r="H223" s="21">
        <v>0.1</v>
      </c>
      <c r="I223" s="21">
        <f t="shared" si="51"/>
        <v>0.16391999999999998</v>
      </c>
      <c r="J223" s="21">
        <f t="shared" si="52"/>
        <v>0.40927999999999998</v>
      </c>
      <c r="K223" s="21">
        <f t="shared" si="53"/>
        <v>0.5</v>
      </c>
      <c r="L223" s="21">
        <v>0.5</v>
      </c>
    </row>
    <row r="225" spans="10:13">
      <c r="J225" s="181"/>
      <c r="K225" s="181"/>
      <c r="L225" s="181"/>
      <c r="M225" s="181"/>
    </row>
    <row r="226" spans="10:13">
      <c r="J226" s="181"/>
      <c r="K226" s="181"/>
      <c r="L226" s="181"/>
      <c r="M226" s="181"/>
    </row>
    <row r="229" spans="10:13">
      <c r="K229" s="17" t="s">
        <v>136</v>
      </c>
    </row>
  </sheetData>
  <autoFilter ref="A40:M43" xr:uid="{00000000-0001-0000-0400-000000000000}"/>
  <mergeCells count="37">
    <mergeCell ref="N118:O118"/>
    <mergeCell ref="Q118:R118"/>
    <mergeCell ref="T118:U118"/>
    <mergeCell ref="A117:M118"/>
    <mergeCell ref="A2:M2"/>
    <mergeCell ref="A3:M3"/>
    <mergeCell ref="C62:C64"/>
    <mergeCell ref="A74:M75"/>
    <mergeCell ref="S87:S88"/>
    <mergeCell ref="T87:AA87"/>
    <mergeCell ref="A113:M113"/>
    <mergeCell ref="I184:I185"/>
    <mergeCell ref="J140:J141"/>
    <mergeCell ref="K140:K141"/>
    <mergeCell ref="A182:M182"/>
    <mergeCell ref="B140:B141"/>
    <mergeCell ref="C140:C141"/>
    <mergeCell ref="D140:D141"/>
    <mergeCell ref="E140:E141"/>
    <mergeCell ref="F140:F141"/>
    <mergeCell ref="I140:I141"/>
    <mergeCell ref="D184:D185"/>
    <mergeCell ref="E184:E185"/>
    <mergeCell ref="F184:F185"/>
    <mergeCell ref="G184:G185"/>
    <mergeCell ref="H184:H185"/>
    <mergeCell ref="B218:B219"/>
    <mergeCell ref="E218:E219"/>
    <mergeCell ref="G218:G219"/>
    <mergeCell ref="K218:K219"/>
    <mergeCell ref="L218:L219"/>
    <mergeCell ref="C218:C219"/>
    <mergeCell ref="D218:D219"/>
    <mergeCell ref="H218:H219"/>
    <mergeCell ref="I218:I219"/>
    <mergeCell ref="J218:J219"/>
    <mergeCell ref="F218:F219"/>
  </mergeCells>
  <conditionalFormatting sqref="L108:L111">
    <cfRule type="cellIs" dxfId="9" priority="1" stopIfTrue="1" operator="greaterThanOrEqual">
      <formula>5</formula>
    </cfRule>
  </conditionalFormatting>
  <printOptions horizontalCentered="1"/>
  <pageMargins left="0.78740157480314965" right="0.78740157480314965" top="1.1811023622047245" bottom="1.1811023622047245" header="0.78740157480314965" footer="0.78740157480314965"/>
  <pageSetup scale="59" fitToHeight="0" orientation="portrait" r:id="rId1"/>
  <rowBreaks count="2" manualBreakCount="2">
    <brk id="71" max="12" man="1"/>
    <brk id="146" max="12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4C469-50B1-4C8C-BAB9-A2D784EBF024}">
  <sheetPr>
    <tabColor theme="6" tint="0.39997558519241921"/>
    <pageSetUpPr fitToPage="1"/>
  </sheetPr>
  <dimension ref="A2:IF227"/>
  <sheetViews>
    <sheetView view="pageBreakPreview" topLeftCell="A183" zoomScale="90" zoomScaleNormal="90" zoomScaleSheetLayoutView="90" workbookViewId="0">
      <selection activeCell="A2" sqref="A2:XFD3"/>
    </sheetView>
  </sheetViews>
  <sheetFormatPr baseColWidth="10" defaultColWidth="11.42578125" defaultRowHeight="12"/>
  <cols>
    <col min="1" max="2" width="9.140625" style="17" customWidth="1"/>
    <col min="3" max="3" width="9.5703125" style="17" customWidth="1"/>
    <col min="4" max="4" width="9.28515625" style="17" customWidth="1"/>
    <col min="5" max="5" width="12.140625" style="17" customWidth="1"/>
    <col min="6" max="6" width="12" style="17" customWidth="1"/>
    <col min="7" max="7" width="15" style="17" customWidth="1"/>
    <col min="8" max="8" width="12.7109375" style="17" customWidth="1"/>
    <col min="9" max="9" width="10.85546875" style="17" customWidth="1"/>
    <col min="10" max="10" width="11" style="17" customWidth="1"/>
    <col min="11" max="11" width="10.28515625" style="17" customWidth="1"/>
    <col min="12" max="12" width="12.5703125" style="17" customWidth="1"/>
    <col min="13" max="13" width="12.85546875" style="17" customWidth="1"/>
    <col min="14" max="14" width="11.42578125" style="17"/>
    <col min="15" max="16" width="11.85546875" style="17" bestFit="1" customWidth="1"/>
    <col min="17" max="17" width="11.85546875" style="17" customWidth="1"/>
    <col min="18" max="18" width="11.85546875" style="17" bestFit="1" customWidth="1"/>
    <col min="19" max="19" width="16.28515625" style="17" bestFit="1" customWidth="1"/>
    <col min="20" max="20" width="11.85546875" style="17" bestFit="1" customWidth="1"/>
    <col min="21" max="21" width="15.140625" style="17" customWidth="1"/>
    <col min="22" max="22" width="11.5703125" style="17" bestFit="1" customWidth="1"/>
    <col min="23" max="23" width="15" style="17" customWidth="1"/>
    <col min="24" max="24" width="11.5703125" style="17" bestFit="1" customWidth="1"/>
    <col min="25" max="16384" width="11.42578125" style="17"/>
  </cols>
  <sheetData>
    <row r="2" spans="1:13" ht="12.75" customHeight="1">
      <c r="A2" s="302" t="s">
        <v>236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3" spans="1:13" s="56" customFormat="1" ht="12.75" customHeight="1">
      <c r="A3" s="303" t="s">
        <v>339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</row>
    <row r="5" spans="1:13">
      <c r="A5" s="19" t="s">
        <v>78</v>
      </c>
    </row>
    <row r="7" spans="1:13">
      <c r="A7" s="19" t="s">
        <v>0</v>
      </c>
    </row>
    <row r="8" spans="1:13">
      <c r="A8" s="19"/>
    </row>
    <row r="9" spans="1:13">
      <c r="A9" s="19" t="s">
        <v>1</v>
      </c>
    </row>
    <row r="10" spans="1:13" ht="12.75" customHeight="1"/>
    <row r="11" spans="1:13" ht="12.75" customHeight="1"/>
    <row r="12" spans="1:13" ht="12.75" customHeight="1"/>
    <row r="13" spans="1:13">
      <c r="E13" s="20"/>
      <c r="F13" s="20"/>
      <c r="G13" s="18"/>
    </row>
    <row r="14" spans="1:13">
      <c r="D14" s="17" t="s">
        <v>2</v>
      </c>
    </row>
    <row r="15" spans="1:13">
      <c r="E15" s="20"/>
      <c r="F15" s="20"/>
      <c r="G15" s="18"/>
    </row>
    <row r="16" spans="1:13">
      <c r="E16" s="20"/>
      <c r="F16" s="20"/>
      <c r="G16" s="18"/>
    </row>
    <row r="17" spans="1:15">
      <c r="E17" s="20"/>
      <c r="F17" s="20"/>
      <c r="G17" s="18"/>
    </row>
    <row r="18" spans="1:15">
      <c r="E18" s="20"/>
      <c r="F18" s="20"/>
      <c r="G18" s="18"/>
    </row>
    <row r="19" spans="1:15">
      <c r="E19" s="20"/>
      <c r="F19" s="20"/>
      <c r="G19" s="18"/>
    </row>
    <row r="20" spans="1:15">
      <c r="E20" s="20"/>
      <c r="F20" s="20"/>
      <c r="G20" s="18"/>
    </row>
    <row r="21" spans="1:15">
      <c r="E21" s="20"/>
      <c r="F21" s="20"/>
      <c r="G21" s="18"/>
    </row>
    <row r="22" spans="1:15">
      <c r="E22" s="20"/>
      <c r="F22" s="20"/>
      <c r="G22" s="18"/>
    </row>
    <row r="23" spans="1:15" ht="7.5" customHeight="1">
      <c r="E23" s="20"/>
      <c r="F23" s="20"/>
      <c r="G23" s="18"/>
    </row>
    <row r="25" spans="1:15">
      <c r="A25" s="19" t="s">
        <v>3</v>
      </c>
      <c r="G25" s="18"/>
    </row>
    <row r="26" spans="1:15">
      <c r="G26" s="18"/>
    </row>
    <row r="27" spans="1:15">
      <c r="G27" s="18"/>
    </row>
    <row r="28" spans="1:15">
      <c r="G28" s="18"/>
    </row>
    <row r="29" spans="1:15">
      <c r="E29" s="20"/>
      <c r="F29" s="20"/>
      <c r="G29" s="18"/>
    </row>
    <row r="30" spans="1:15">
      <c r="D30" s="17" t="s">
        <v>2</v>
      </c>
      <c r="G30" s="18"/>
      <c r="N30" s="29"/>
      <c r="O30" s="29"/>
    </row>
    <row r="31" spans="1:15">
      <c r="G31" s="18"/>
      <c r="N31" s="29"/>
      <c r="O31" s="29"/>
    </row>
    <row r="32" spans="1:15">
      <c r="E32" s="20"/>
      <c r="F32" s="20"/>
      <c r="G32" s="18"/>
      <c r="N32" s="29"/>
      <c r="O32" s="29"/>
    </row>
    <row r="33" spans="1:22" ht="18.75" customHeight="1">
      <c r="E33" s="22"/>
      <c r="F33" s="22"/>
      <c r="G33" s="18"/>
      <c r="N33" s="29"/>
      <c r="O33" s="29"/>
    </row>
    <row r="34" spans="1:22">
      <c r="A34" s="17" t="s">
        <v>4</v>
      </c>
      <c r="N34" s="29"/>
      <c r="O34" s="29"/>
    </row>
    <row r="35" spans="1:22" ht="16.5" customHeight="1">
      <c r="N35" s="29"/>
      <c r="O35" s="29"/>
    </row>
    <row r="36" spans="1:22">
      <c r="C36" s="23" t="s">
        <v>96</v>
      </c>
      <c r="D36" s="41">
        <v>30</v>
      </c>
      <c r="E36" s="130"/>
      <c r="F36" s="131" t="s">
        <v>97</v>
      </c>
      <c r="G36" s="132">
        <f>D36*PI()/180</f>
        <v>0.52359877559829882</v>
      </c>
      <c r="K36" s="26"/>
    </row>
    <row r="37" spans="1:22" ht="13.5">
      <c r="C37" s="27" t="s">
        <v>5</v>
      </c>
      <c r="D37" s="132">
        <f>(TAN(PI()/4-G36/2))^2</f>
        <v>0.33333333333333343</v>
      </c>
      <c r="E37" s="130"/>
      <c r="F37" s="131" t="s">
        <v>98</v>
      </c>
      <c r="G37" s="54">
        <v>20</v>
      </c>
      <c r="K37" s="26"/>
    </row>
    <row r="38" spans="1:22">
      <c r="C38" s="23" t="s">
        <v>99</v>
      </c>
      <c r="D38" s="25">
        <f>TAN(G36)</f>
        <v>0.57735026918962573</v>
      </c>
      <c r="E38" s="24"/>
      <c r="K38" s="26"/>
    </row>
    <row r="40" spans="1:22" s="31" customFormat="1" ht="36.75" customHeight="1">
      <c r="A40" s="168"/>
      <c r="B40" s="138" t="s">
        <v>128</v>
      </c>
      <c r="C40" s="186" t="s">
        <v>129</v>
      </c>
      <c r="D40" s="186" t="s">
        <v>130</v>
      </c>
      <c r="E40" s="186" t="s">
        <v>209</v>
      </c>
      <c r="F40" s="186" t="s">
        <v>208</v>
      </c>
      <c r="G40" s="186" t="s">
        <v>223</v>
      </c>
      <c r="H40" s="186" t="s">
        <v>207</v>
      </c>
      <c r="I40" s="186" t="s">
        <v>205</v>
      </c>
      <c r="J40" s="185" t="s">
        <v>10</v>
      </c>
      <c r="K40" s="186" t="s">
        <v>206</v>
      </c>
      <c r="L40" s="186" t="s">
        <v>202</v>
      </c>
      <c r="O40" s="138" t="s">
        <v>203</v>
      </c>
      <c r="P40" s="182" t="s">
        <v>11</v>
      </c>
      <c r="Q40" s="137" t="s">
        <v>12</v>
      </c>
      <c r="R40" s="184"/>
      <c r="S40" s="179"/>
      <c r="V40" s="17"/>
    </row>
    <row r="41" spans="1:22" ht="13.5" customHeight="1">
      <c r="A41" s="169"/>
      <c r="B41" s="55" t="s">
        <v>170</v>
      </c>
      <c r="C41" s="178">
        <v>78812</v>
      </c>
      <c r="D41" s="53">
        <v>8.59</v>
      </c>
      <c r="E41" s="55">
        <v>12</v>
      </c>
      <c r="F41" s="134">
        <f>+INDEX(Especificaciones!$C$5:$C$25,MATCH('Flexible - D P20'!O41,Especificaciones!$B$5:$B$25,-1))</f>
        <v>0.32400000000000001</v>
      </c>
      <c r="G41" s="231" t="s">
        <v>323</v>
      </c>
      <c r="H41" s="231">
        <v>1.3</v>
      </c>
      <c r="I41" s="53">
        <v>1</v>
      </c>
      <c r="J41" s="32">
        <f t="shared" ref="J41:J42" si="0">IF(I41&gt;=2*F41,H41/F41,(1-EXP(-2*$D$37*$D$38*H41/I41))/(2*$D$37*$D$38))</f>
        <v>4.0123456790123457</v>
      </c>
      <c r="K41" s="135">
        <f t="shared" ref="K41:K42" si="1">IF(I41&gt;=2*F41,J41*$G$37*F41^2,J41*$G$37*I41*F41)</f>
        <v>8.4239999999999995</v>
      </c>
      <c r="L41" s="135" t="s">
        <v>17</v>
      </c>
      <c r="N41" s="38"/>
      <c r="O41" s="55">
        <v>315</v>
      </c>
      <c r="P41" s="21">
        <f t="shared" ref="P41:P44" si="2">+F41+H41+0.1</f>
        <v>1.7240000000000002</v>
      </c>
      <c r="Q41" s="21">
        <f t="shared" ref="Q41:Q44" si="3">P41*1.5</f>
        <v>2.5860000000000003</v>
      </c>
      <c r="R41" s="13"/>
      <c r="S41" s="14"/>
      <c r="T41" s="29"/>
      <c r="U41" s="14"/>
      <c r="V41" s="29"/>
    </row>
    <row r="42" spans="1:22" ht="13.5" customHeight="1">
      <c r="A42" s="169"/>
      <c r="B42" s="55" t="s">
        <v>156</v>
      </c>
      <c r="C42" s="178">
        <v>79268</v>
      </c>
      <c r="D42" s="53">
        <v>7.2</v>
      </c>
      <c r="E42" s="55">
        <v>10</v>
      </c>
      <c r="F42" s="134">
        <f>+INDEX(Especificaciones!$C$5:$C$25,MATCH('Flexible - D P20'!O42,Especificaciones!$B$5:$B$25,-1))</f>
        <v>0.2732</v>
      </c>
      <c r="G42" s="231" t="s">
        <v>322</v>
      </c>
      <c r="H42" s="231">
        <v>1.1599999999999999</v>
      </c>
      <c r="I42" s="53">
        <v>1</v>
      </c>
      <c r="J42" s="32">
        <f t="shared" si="0"/>
        <v>4.2459736456808193</v>
      </c>
      <c r="K42" s="135">
        <f t="shared" si="1"/>
        <v>6.338239999999999</v>
      </c>
      <c r="L42" s="135" t="s">
        <v>17</v>
      </c>
      <c r="N42" s="38"/>
      <c r="O42" s="55">
        <v>250</v>
      </c>
      <c r="P42" s="21">
        <f t="shared" si="2"/>
        <v>1.5331999999999999</v>
      </c>
      <c r="Q42" s="21">
        <f t="shared" si="3"/>
        <v>2.2997999999999998</v>
      </c>
      <c r="R42" s="13"/>
      <c r="S42" s="14"/>
      <c r="T42" s="29"/>
      <c r="U42" s="14"/>
      <c r="V42" s="29"/>
    </row>
    <row r="43" spans="1:22" ht="13.5" customHeight="1">
      <c r="A43" s="169"/>
      <c r="B43" s="55" t="s">
        <v>316</v>
      </c>
      <c r="C43" s="178" t="s">
        <v>317</v>
      </c>
      <c r="D43" s="53">
        <v>1</v>
      </c>
      <c r="E43" s="55">
        <v>10</v>
      </c>
      <c r="F43" s="134">
        <f>+INDEX(Especificaciones!$C$5:$C$25,MATCH('Flexible - D P20'!O43,Especificaciones!$B$5:$B$25,-1))</f>
        <v>0.2732</v>
      </c>
      <c r="G43" s="231">
        <v>2849.58</v>
      </c>
      <c r="H43" s="231">
        <v>1.02</v>
      </c>
      <c r="I43" s="53">
        <v>1</v>
      </c>
      <c r="J43" s="32">
        <f t="shared" ref="J43:J44" si="4">IF(I43&gt;=2*F43,H43/F43,(1-EXP(-2*$D$37*$D$38*H43/I43))/(2*$D$37*$D$38))</f>
        <v>3.7335285505124451</v>
      </c>
      <c r="K43" s="135">
        <f t="shared" ref="K43:K44" si="5">IF(I43&gt;=2*F43,J43*$G$37*F43^2,J43*$G$37*I43*F43)</f>
        <v>5.5732799999999996</v>
      </c>
      <c r="L43" s="135" t="s">
        <v>17</v>
      </c>
      <c r="N43" s="38"/>
      <c r="O43" s="55">
        <v>250</v>
      </c>
      <c r="P43" s="21">
        <f t="shared" si="2"/>
        <v>1.3932000000000002</v>
      </c>
      <c r="Q43" s="21">
        <f t="shared" si="3"/>
        <v>2.0898000000000003</v>
      </c>
      <c r="R43" s="13"/>
      <c r="S43" s="14"/>
      <c r="T43" s="29"/>
      <c r="U43" s="14"/>
      <c r="V43" s="29"/>
    </row>
    <row r="44" spans="1:22" ht="13.5" customHeight="1">
      <c r="A44" s="169"/>
      <c r="B44" s="55" t="s">
        <v>317</v>
      </c>
      <c r="C44" s="178" t="s">
        <v>170</v>
      </c>
      <c r="D44" s="53">
        <v>7</v>
      </c>
      <c r="E44" s="55">
        <v>10</v>
      </c>
      <c r="F44" s="134">
        <f>+INDEX(Especificaciones!$C$5:$C$25,MATCH('Flexible - D P20'!O44,Especificaciones!$B$5:$B$25,-1))</f>
        <v>0.2732</v>
      </c>
      <c r="G44" s="231">
        <v>2848.16</v>
      </c>
      <c r="H44" s="231">
        <v>2.42</v>
      </c>
      <c r="I44" s="53">
        <v>1</v>
      </c>
      <c r="J44" s="32">
        <f t="shared" si="4"/>
        <v>8.8579795021961925</v>
      </c>
      <c r="K44" s="135">
        <f t="shared" si="5"/>
        <v>13.222879999999998</v>
      </c>
      <c r="L44" s="135" t="s">
        <v>17</v>
      </c>
      <c r="N44" s="38"/>
      <c r="O44" s="55">
        <v>250</v>
      </c>
      <c r="P44" s="21">
        <f t="shared" si="2"/>
        <v>2.7932000000000001</v>
      </c>
      <c r="Q44" s="21">
        <f t="shared" si="3"/>
        <v>4.1898</v>
      </c>
      <c r="R44" s="13"/>
      <c r="S44" s="14"/>
      <c r="T44" s="29"/>
      <c r="U44" s="14"/>
      <c r="V44" s="29"/>
    </row>
    <row r="45" spans="1:22">
      <c r="A45" s="181"/>
      <c r="B45" s="181"/>
      <c r="C45" s="35"/>
      <c r="D45" s="71"/>
      <c r="E45" s="36"/>
      <c r="F45" s="35"/>
      <c r="H45" s="35"/>
      <c r="I45" s="35"/>
      <c r="J45" s="60"/>
      <c r="K45" s="36"/>
      <c r="L45" s="36"/>
      <c r="M45" s="37"/>
      <c r="N45" s="38"/>
      <c r="O45" s="55"/>
      <c r="P45" s="21"/>
      <c r="Q45" s="21"/>
    </row>
    <row r="46" spans="1:22">
      <c r="A46" s="19" t="s">
        <v>18</v>
      </c>
      <c r="B46" s="39"/>
      <c r="C46" s="19"/>
      <c r="D46" s="19"/>
      <c r="E46" s="19"/>
      <c r="F46" s="19"/>
      <c r="G46" s="19"/>
      <c r="H46" s="19"/>
      <c r="I46" s="19"/>
      <c r="J46" s="19"/>
      <c r="K46" s="19"/>
      <c r="L46" s="19"/>
    </row>
    <row r="47" spans="1:22">
      <c r="A47" s="19"/>
      <c r="B47" s="19"/>
      <c r="C47" s="19"/>
      <c r="D47" s="19"/>
      <c r="E47" s="40"/>
      <c r="F47" s="20"/>
      <c r="G47" s="40"/>
      <c r="H47" s="19"/>
      <c r="I47" s="19"/>
      <c r="J47" s="19"/>
      <c r="K47" s="19"/>
      <c r="L47" s="19"/>
    </row>
    <row r="48" spans="1:22">
      <c r="A48" s="19"/>
      <c r="B48" s="19"/>
      <c r="C48" s="19"/>
      <c r="H48" s="19"/>
      <c r="I48" s="19"/>
      <c r="J48" s="19"/>
      <c r="K48" s="19"/>
      <c r="L48" s="19"/>
      <c r="O48" s="29"/>
    </row>
    <row r="49" spans="1:26">
      <c r="A49" s="19"/>
      <c r="B49" s="19"/>
      <c r="C49" s="19"/>
      <c r="H49" s="19"/>
      <c r="I49" s="19"/>
      <c r="J49" s="19"/>
      <c r="K49" s="19"/>
      <c r="L49" s="19"/>
    </row>
    <row r="50" spans="1:26">
      <c r="B50" s="19"/>
      <c r="C50" s="19"/>
      <c r="H50" s="19"/>
      <c r="I50" s="19"/>
      <c r="J50" s="19"/>
      <c r="K50" s="19"/>
      <c r="L50" s="19"/>
    </row>
    <row r="51" spans="1:26" s="31" customFormat="1" ht="11.25" customHeight="1">
      <c r="A51" s="19"/>
      <c r="B51" s="19"/>
      <c r="C51" s="19"/>
      <c r="D51" s="17" t="s">
        <v>2</v>
      </c>
      <c r="E51" s="19"/>
      <c r="F51" s="19"/>
      <c r="G51" s="19"/>
      <c r="H51" s="19"/>
      <c r="I51" s="19"/>
      <c r="J51" s="19"/>
      <c r="K51" s="19"/>
      <c r="L51" s="19"/>
      <c r="M51" s="17"/>
      <c r="N51" s="17"/>
      <c r="P51" s="17"/>
      <c r="Q51" s="17"/>
      <c r="R51" s="17"/>
      <c r="S51" s="17"/>
      <c r="T51" s="17"/>
      <c r="U51" s="17"/>
      <c r="W51" s="17"/>
      <c r="X51" s="17"/>
      <c r="Y51" s="17"/>
      <c r="Z51" s="17"/>
    </row>
    <row r="52" spans="1:26" s="31" customFormat="1" ht="16.5" customHeight="1">
      <c r="A52" s="19"/>
      <c r="B52" s="19"/>
      <c r="C52" s="19"/>
      <c r="D52" s="17"/>
      <c r="E52" s="40"/>
      <c r="F52" s="40"/>
      <c r="G52" s="40"/>
      <c r="H52" s="19"/>
      <c r="I52" s="19"/>
      <c r="J52" s="19"/>
      <c r="K52" s="19"/>
      <c r="L52" s="19"/>
      <c r="M52" s="17"/>
      <c r="N52" s="17"/>
      <c r="P52" s="17"/>
      <c r="Q52" s="17"/>
      <c r="R52" s="17"/>
      <c r="S52" s="17"/>
      <c r="T52" s="17"/>
      <c r="U52" s="17"/>
      <c r="W52" s="17"/>
      <c r="X52" s="17"/>
      <c r="Y52" s="17"/>
      <c r="Z52" s="17"/>
    </row>
    <row r="53" spans="1:26" s="31" customFormat="1" ht="18.75" customHeight="1">
      <c r="A53" s="19"/>
      <c r="B53" s="19"/>
      <c r="C53" s="19"/>
      <c r="D53" s="17"/>
      <c r="E53" s="40"/>
      <c r="F53" s="40"/>
      <c r="G53" s="40"/>
      <c r="H53" s="19"/>
      <c r="I53" s="19"/>
      <c r="J53" s="19"/>
      <c r="K53" s="19"/>
      <c r="L53" s="19"/>
      <c r="M53" s="17"/>
      <c r="N53" s="17"/>
      <c r="P53" s="17"/>
      <c r="Q53" s="17"/>
      <c r="R53" s="17"/>
      <c r="S53" s="17"/>
      <c r="T53" s="17"/>
      <c r="U53" s="17"/>
      <c r="W53" s="17"/>
      <c r="X53" s="17"/>
      <c r="Y53" s="17"/>
      <c r="Z53" s="17"/>
    </row>
    <row r="54" spans="1:26" s="31" customFormat="1" ht="18.75" customHeight="1">
      <c r="A54" s="19"/>
      <c r="B54" s="19"/>
      <c r="C54" s="19"/>
      <c r="D54" s="17"/>
      <c r="E54" s="40"/>
      <c r="F54" s="40"/>
      <c r="G54" s="40"/>
      <c r="H54" s="19"/>
      <c r="I54" s="19"/>
      <c r="J54" s="19"/>
      <c r="K54" s="19"/>
      <c r="L54" s="19"/>
      <c r="M54" s="17"/>
      <c r="N54" s="17"/>
      <c r="P54" s="17"/>
      <c r="Q54" s="17"/>
      <c r="R54" s="17"/>
      <c r="S54" s="17"/>
      <c r="T54" s="17"/>
      <c r="U54" s="17"/>
      <c r="W54" s="17"/>
      <c r="X54" s="17"/>
      <c r="Y54" s="17"/>
      <c r="Z54" s="17"/>
    </row>
    <row r="55" spans="1:26" s="31" customFormat="1" ht="12.75" customHeight="1">
      <c r="A55" s="19"/>
      <c r="B55" s="19"/>
      <c r="C55" s="19"/>
      <c r="D55" s="19"/>
      <c r="E55" s="40"/>
      <c r="F55" s="40"/>
      <c r="G55" s="40"/>
      <c r="H55" s="19"/>
      <c r="I55" s="19"/>
      <c r="J55" s="19"/>
      <c r="K55" s="19"/>
      <c r="L55" s="19"/>
      <c r="M55" s="17"/>
      <c r="N55" s="17"/>
      <c r="P55" s="17"/>
      <c r="Q55" s="17"/>
      <c r="R55" s="17"/>
      <c r="S55" s="17"/>
      <c r="T55" s="17"/>
      <c r="U55" s="17"/>
      <c r="W55" s="17"/>
      <c r="X55" s="17"/>
      <c r="Y55" s="17"/>
      <c r="Z55" s="17"/>
    </row>
    <row r="56" spans="1:26" s="31" customFormat="1" ht="15" customHeight="1">
      <c r="A56" s="19"/>
      <c r="B56" s="19"/>
      <c r="C56" s="19"/>
      <c r="D56" s="19"/>
      <c r="E56" s="40"/>
      <c r="F56" s="40"/>
      <c r="G56" s="40"/>
      <c r="H56" s="19"/>
      <c r="I56" s="19"/>
      <c r="J56" s="19"/>
      <c r="K56" s="19"/>
      <c r="L56" s="19"/>
      <c r="M56" s="17"/>
      <c r="N56" s="17"/>
      <c r="P56" s="17"/>
      <c r="Q56" s="17"/>
      <c r="R56" s="17"/>
      <c r="S56" s="17"/>
      <c r="T56" s="17"/>
      <c r="U56" s="17"/>
      <c r="W56" s="17"/>
      <c r="X56" s="17"/>
      <c r="Y56" s="17"/>
      <c r="Z56" s="17"/>
    </row>
    <row r="57" spans="1:26" ht="7.5" customHeight="1">
      <c r="A57" s="19"/>
      <c r="B57" s="19"/>
      <c r="C57" s="19"/>
      <c r="D57" s="19"/>
      <c r="E57" s="40"/>
      <c r="F57" s="40"/>
      <c r="G57" s="40"/>
      <c r="H57" s="19"/>
      <c r="I57" s="19"/>
      <c r="J57" s="19"/>
      <c r="K57" s="19"/>
      <c r="L57" s="19"/>
      <c r="M57" s="19"/>
    </row>
    <row r="58" spans="1:26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</row>
    <row r="59" spans="1:26">
      <c r="A59" s="17" t="s">
        <v>19</v>
      </c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</row>
    <row r="60" spans="1:26"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</row>
    <row r="61" spans="1:26">
      <c r="C61" s="139" t="s">
        <v>20</v>
      </c>
      <c r="D61" s="41">
        <v>80</v>
      </c>
      <c r="F61" s="19"/>
      <c r="G61" s="19"/>
      <c r="H61" s="19"/>
      <c r="I61" s="19"/>
      <c r="J61" s="19"/>
      <c r="K61" s="19"/>
      <c r="L61" s="19"/>
      <c r="M61" s="19"/>
    </row>
    <row r="62" spans="1:26">
      <c r="C62" s="295" t="s">
        <v>21</v>
      </c>
      <c r="D62" s="4">
        <v>1.2</v>
      </c>
      <c r="E62" s="1" t="s">
        <v>174</v>
      </c>
      <c r="F62" s="19"/>
      <c r="G62" s="19"/>
      <c r="H62" s="19"/>
      <c r="I62" s="19"/>
      <c r="J62" s="19"/>
      <c r="K62" s="19"/>
      <c r="L62" s="19"/>
      <c r="M62" s="19"/>
    </row>
    <row r="63" spans="1:26">
      <c r="C63" s="296"/>
      <c r="D63" s="4">
        <v>1.1000000000000001</v>
      </c>
      <c r="E63" s="1" t="s">
        <v>22</v>
      </c>
      <c r="F63" s="19"/>
      <c r="G63" s="19"/>
      <c r="H63" s="19"/>
      <c r="I63" s="19"/>
      <c r="J63" s="19"/>
      <c r="K63" s="19"/>
      <c r="L63" s="19"/>
      <c r="M63" s="19"/>
    </row>
    <row r="64" spans="1:26">
      <c r="C64" s="297"/>
      <c r="D64" s="42">
        <v>1</v>
      </c>
      <c r="E64" s="1" t="s">
        <v>175</v>
      </c>
      <c r="M64" s="19"/>
    </row>
    <row r="65" spans="1:26">
      <c r="M65" s="19"/>
    </row>
    <row r="66" spans="1:26" s="31" customFormat="1" ht="30" customHeight="1">
      <c r="A66" s="168"/>
      <c r="B66" s="138" t="str">
        <f>B$40</f>
        <v>Pozo de</v>
      </c>
      <c r="C66" s="186" t="str">
        <f>C$40</f>
        <v>Pozo a</v>
      </c>
      <c r="D66" s="186" t="s">
        <v>130</v>
      </c>
      <c r="E66" s="186" t="s">
        <v>209</v>
      </c>
      <c r="F66" s="186" t="s">
        <v>204</v>
      </c>
      <c r="G66" s="185" t="s">
        <v>134</v>
      </c>
      <c r="H66" s="186" t="s">
        <v>205</v>
      </c>
      <c r="I66" s="186" t="s">
        <v>224</v>
      </c>
      <c r="J66" s="186" t="s">
        <v>225</v>
      </c>
      <c r="K66" s="186" t="s">
        <v>210</v>
      </c>
      <c r="L66" s="186" t="s">
        <v>211</v>
      </c>
      <c r="N66" s="183" t="s">
        <v>23</v>
      </c>
      <c r="W66" s="17"/>
      <c r="X66" s="17"/>
    </row>
    <row r="67" spans="1:26" s="74" customFormat="1" ht="12" customHeight="1">
      <c r="A67" s="169"/>
      <c r="B67" s="140" t="str">
        <f t="shared" ref="B67:F70" si="6">+B41</f>
        <v>PA-06</v>
      </c>
      <c r="C67" s="140">
        <f t="shared" si="6"/>
        <v>78812</v>
      </c>
      <c r="D67" s="135">
        <f t="shared" si="6"/>
        <v>8.59</v>
      </c>
      <c r="E67" s="95">
        <f t="shared" si="6"/>
        <v>12</v>
      </c>
      <c r="F67" s="135">
        <f t="shared" si="6"/>
        <v>0.32400000000000001</v>
      </c>
      <c r="G67" s="135">
        <f t="shared" ref="G67:H70" si="7">+H41</f>
        <v>1.3</v>
      </c>
      <c r="H67" s="135">
        <f t="shared" si="7"/>
        <v>1</v>
      </c>
      <c r="I67" s="135">
        <f t="shared" ref="I67:I68" si="8">0.5+1.75*G67</f>
        <v>2.7749999999999999</v>
      </c>
      <c r="J67" s="135">
        <f t="shared" ref="J67:J68" si="9">0.25+1.75*G67</f>
        <v>2.5249999999999999</v>
      </c>
      <c r="K67" s="135">
        <f t="shared" ref="K67:K68" si="10">I67+1.75*(3*F67/4)</f>
        <v>3.20025</v>
      </c>
      <c r="L67" s="96">
        <f t="shared" ref="L67:L68" si="11">$D$61*CHOOSE(N67,$D$62,$D$63,$D$64)/K67</f>
        <v>24.998047027575971</v>
      </c>
      <c r="M67" s="17"/>
      <c r="N67" s="75">
        <f t="shared" ref="N67:N70" si="12">IF(G67&lt;0.6,1,IF(G67&lt;0.91,2,3))</f>
        <v>3</v>
      </c>
    </row>
    <row r="68" spans="1:26" s="74" customFormat="1" ht="12" customHeight="1">
      <c r="A68" s="169"/>
      <c r="B68" s="140" t="str">
        <f t="shared" si="6"/>
        <v>PV-06</v>
      </c>
      <c r="C68" s="140">
        <f t="shared" si="6"/>
        <v>79268</v>
      </c>
      <c r="D68" s="135">
        <f t="shared" si="6"/>
        <v>7.2</v>
      </c>
      <c r="E68" s="95">
        <f t="shared" si="6"/>
        <v>10</v>
      </c>
      <c r="F68" s="135">
        <f t="shared" si="6"/>
        <v>0.2732</v>
      </c>
      <c r="G68" s="135">
        <f t="shared" si="7"/>
        <v>1.1599999999999999</v>
      </c>
      <c r="H68" s="135">
        <f t="shared" si="7"/>
        <v>1</v>
      </c>
      <c r="I68" s="135">
        <f t="shared" si="8"/>
        <v>2.5299999999999998</v>
      </c>
      <c r="J68" s="135">
        <f t="shared" si="9"/>
        <v>2.2799999999999998</v>
      </c>
      <c r="K68" s="135">
        <f t="shared" si="10"/>
        <v>2.8885749999999999</v>
      </c>
      <c r="L68" s="96">
        <f t="shared" si="11"/>
        <v>27.695316895008787</v>
      </c>
      <c r="M68" s="17"/>
      <c r="N68" s="75">
        <f t="shared" si="12"/>
        <v>3</v>
      </c>
    </row>
    <row r="69" spans="1:26" s="74" customFormat="1" ht="12" customHeight="1">
      <c r="A69" s="169"/>
      <c r="B69" s="140" t="str">
        <f t="shared" si="6"/>
        <v>CR-16</v>
      </c>
      <c r="C69" s="140" t="str">
        <f t="shared" si="6"/>
        <v>CS-07</v>
      </c>
      <c r="D69" s="135">
        <f t="shared" si="6"/>
        <v>1</v>
      </c>
      <c r="E69" s="95">
        <f t="shared" si="6"/>
        <v>10</v>
      </c>
      <c r="F69" s="135">
        <f t="shared" si="6"/>
        <v>0.2732</v>
      </c>
      <c r="G69" s="135">
        <f t="shared" si="7"/>
        <v>1.02</v>
      </c>
      <c r="H69" s="135">
        <f t="shared" si="7"/>
        <v>1</v>
      </c>
      <c r="I69" s="135">
        <f t="shared" ref="I69:I70" si="13">0.5+1.75*G69</f>
        <v>2.2850000000000001</v>
      </c>
      <c r="J69" s="135">
        <f t="shared" ref="J69:J70" si="14">0.25+1.75*G69</f>
        <v>2.0350000000000001</v>
      </c>
      <c r="K69" s="135">
        <f t="shared" ref="K69:K70" si="15">I69+1.75*(3*F69/4)</f>
        <v>2.6435750000000002</v>
      </c>
      <c r="L69" s="96">
        <f t="shared" ref="L69:L70" si="16">$D$61*CHOOSE(N69,$D$62,$D$63,$D$64)/K69</f>
        <v>30.26205044305533</v>
      </c>
      <c r="M69" s="17"/>
      <c r="N69" s="75">
        <f t="shared" si="12"/>
        <v>3</v>
      </c>
    </row>
    <row r="70" spans="1:26" s="74" customFormat="1" ht="12" customHeight="1">
      <c r="A70" s="169"/>
      <c r="B70" s="140" t="str">
        <f t="shared" si="6"/>
        <v>CS-07</v>
      </c>
      <c r="C70" s="140" t="str">
        <f t="shared" si="6"/>
        <v>PA-06</v>
      </c>
      <c r="D70" s="135">
        <f t="shared" si="6"/>
        <v>7</v>
      </c>
      <c r="E70" s="95">
        <f t="shared" si="6"/>
        <v>10</v>
      </c>
      <c r="F70" s="135">
        <f t="shared" si="6"/>
        <v>0.2732</v>
      </c>
      <c r="G70" s="135">
        <f t="shared" si="7"/>
        <v>2.42</v>
      </c>
      <c r="H70" s="135">
        <f t="shared" si="7"/>
        <v>1</v>
      </c>
      <c r="I70" s="135">
        <f t="shared" si="13"/>
        <v>4.7349999999999994</v>
      </c>
      <c r="J70" s="135">
        <f t="shared" si="14"/>
        <v>4.4849999999999994</v>
      </c>
      <c r="K70" s="135">
        <f t="shared" si="15"/>
        <v>5.0935749999999995</v>
      </c>
      <c r="L70" s="96">
        <f t="shared" si="16"/>
        <v>15.706061067128688</v>
      </c>
      <c r="M70" s="17"/>
      <c r="N70" s="75">
        <f t="shared" si="12"/>
        <v>3</v>
      </c>
    </row>
    <row r="71" spans="1:26" s="74" customFormat="1" ht="11.25">
      <c r="E71" s="77"/>
      <c r="F71" s="78"/>
      <c r="G71" s="79"/>
      <c r="H71" s="79"/>
      <c r="I71" s="80"/>
      <c r="J71" s="80"/>
      <c r="K71" s="80"/>
    </row>
    <row r="72" spans="1:26">
      <c r="A72" s="19" t="s">
        <v>24</v>
      </c>
      <c r="D72" s="37"/>
      <c r="E72" s="30"/>
      <c r="F72" s="43"/>
      <c r="G72" s="43"/>
      <c r="H72" s="36"/>
      <c r="I72" s="36"/>
      <c r="J72" s="36"/>
    </row>
    <row r="73" spans="1:26">
      <c r="D73" s="37"/>
      <c r="E73" s="30"/>
      <c r="F73" s="43"/>
      <c r="G73" s="43"/>
      <c r="H73" s="36"/>
      <c r="I73" s="36"/>
      <c r="J73" s="36"/>
    </row>
    <row r="74" spans="1:26">
      <c r="A74" s="298" t="s">
        <v>116</v>
      </c>
      <c r="B74" s="298"/>
      <c r="C74" s="298"/>
      <c r="D74" s="298"/>
      <c r="E74" s="298"/>
      <c r="F74" s="298"/>
      <c r="G74" s="298"/>
      <c r="H74" s="298"/>
      <c r="I74" s="298"/>
      <c r="J74" s="298"/>
      <c r="K74" s="298"/>
      <c r="L74" s="298"/>
      <c r="M74" s="298"/>
    </row>
    <row r="75" spans="1:26">
      <c r="A75" s="298"/>
      <c r="B75" s="298"/>
      <c r="C75" s="298"/>
      <c r="D75" s="298"/>
      <c r="E75" s="298"/>
      <c r="F75" s="298"/>
      <c r="G75" s="298"/>
      <c r="H75" s="298"/>
      <c r="I75" s="298"/>
      <c r="J75" s="298"/>
      <c r="K75" s="298"/>
      <c r="L75" s="298"/>
      <c r="M75" s="298"/>
    </row>
    <row r="76" spans="1:26">
      <c r="D76" s="37"/>
      <c r="E76" s="30"/>
      <c r="F76" s="43"/>
      <c r="G76" s="43"/>
      <c r="H76" s="36"/>
      <c r="I76" s="36"/>
      <c r="J76" s="36"/>
    </row>
    <row r="77" spans="1:26">
      <c r="D77" s="37"/>
      <c r="E77" s="30"/>
      <c r="F77" s="43"/>
      <c r="G77" s="43"/>
      <c r="H77" s="36"/>
      <c r="I77" s="36"/>
      <c r="J77" s="36"/>
      <c r="P77" s="19"/>
      <c r="Q77" s="19"/>
      <c r="R77" s="19"/>
      <c r="S77" s="19"/>
      <c r="T77" s="19"/>
      <c r="U77" s="19"/>
      <c r="V77" s="19"/>
      <c r="Y77" s="19"/>
      <c r="Z77" s="19"/>
    </row>
    <row r="78" spans="1:26">
      <c r="D78" s="37"/>
      <c r="E78" s="30"/>
      <c r="F78" s="43"/>
      <c r="G78" s="43"/>
      <c r="H78" s="36"/>
      <c r="I78" s="36"/>
      <c r="J78" s="36"/>
      <c r="P78" s="19"/>
      <c r="Q78" s="19"/>
      <c r="R78" s="19"/>
      <c r="S78" s="19"/>
      <c r="T78" s="19"/>
      <c r="U78" s="19"/>
      <c r="V78" s="19"/>
      <c r="Y78" s="19"/>
      <c r="Z78" s="19"/>
    </row>
    <row r="79" spans="1:26">
      <c r="D79" s="37"/>
      <c r="E79" s="30"/>
      <c r="F79" s="43"/>
      <c r="G79" s="43"/>
      <c r="H79" s="36"/>
      <c r="I79" s="36"/>
      <c r="J79" s="36"/>
      <c r="P79" s="19"/>
      <c r="Q79" s="19"/>
      <c r="R79" s="19"/>
      <c r="S79" s="19"/>
      <c r="T79" s="19"/>
      <c r="U79" s="19"/>
      <c r="V79" s="19"/>
      <c r="Y79" s="19"/>
      <c r="Z79" s="19"/>
    </row>
    <row r="80" spans="1:26">
      <c r="D80" s="37"/>
      <c r="E80" s="30"/>
      <c r="F80" s="43"/>
      <c r="G80" s="43"/>
      <c r="H80" s="36"/>
      <c r="I80" s="36"/>
      <c r="J80" s="36"/>
      <c r="P80" s="19"/>
      <c r="Q80" s="19"/>
      <c r="R80" s="19"/>
      <c r="S80" s="19"/>
      <c r="T80" s="19"/>
      <c r="U80" s="19"/>
      <c r="V80" s="19"/>
      <c r="Y80" s="19"/>
      <c r="Z80" s="19"/>
    </row>
    <row r="81" spans="1:240">
      <c r="A81" s="17" t="s">
        <v>2</v>
      </c>
      <c r="D81" s="37"/>
      <c r="E81" s="30"/>
      <c r="F81" s="43"/>
      <c r="G81" s="43"/>
      <c r="H81" s="36"/>
      <c r="I81" s="36"/>
      <c r="J81" s="36"/>
      <c r="P81" s="19"/>
      <c r="Q81" s="19"/>
      <c r="R81" s="19"/>
      <c r="S81" s="19"/>
      <c r="T81" s="19"/>
      <c r="U81" s="19"/>
      <c r="V81" s="19"/>
      <c r="Y81" s="19"/>
      <c r="Z81" s="19"/>
    </row>
    <row r="82" spans="1:240">
      <c r="C82" s="44" t="s">
        <v>100</v>
      </c>
      <c r="D82" s="45" t="s">
        <v>25</v>
      </c>
      <c r="E82" s="30"/>
      <c r="F82" s="43"/>
      <c r="G82" s="43"/>
      <c r="H82" s="36"/>
      <c r="I82" s="36"/>
      <c r="J82" s="36"/>
      <c r="O82" s="72"/>
      <c r="P82" s="154"/>
      <c r="Q82" s="154"/>
      <c r="R82" s="154"/>
      <c r="S82" s="19"/>
      <c r="T82" s="19"/>
      <c r="U82" s="19"/>
      <c r="V82" s="19"/>
      <c r="Y82" s="19"/>
      <c r="Z82" s="19"/>
    </row>
    <row r="83" spans="1:240">
      <c r="C83" s="44" t="s">
        <v>101</v>
      </c>
      <c r="D83" s="45" t="s">
        <v>27</v>
      </c>
      <c r="E83" s="30"/>
      <c r="F83" s="43"/>
      <c r="G83" s="43"/>
      <c r="H83" s="36"/>
      <c r="I83" s="36"/>
      <c r="J83" s="36"/>
      <c r="O83" s="181"/>
      <c r="P83" s="155"/>
      <c r="Q83" s="154"/>
      <c r="R83" s="154"/>
      <c r="S83" s="19"/>
      <c r="T83" s="19"/>
      <c r="U83" s="19"/>
      <c r="V83" s="19"/>
      <c r="W83" s="19"/>
      <c r="X83" s="19"/>
      <c r="Y83" s="19"/>
      <c r="Z83" s="19"/>
    </row>
    <row r="84" spans="1:240">
      <c r="C84" s="17" t="s">
        <v>26</v>
      </c>
      <c r="D84" s="45" t="s">
        <v>76</v>
      </c>
      <c r="E84" s="30"/>
      <c r="F84" s="43"/>
      <c r="G84" s="43"/>
      <c r="H84" s="36"/>
      <c r="I84" s="36"/>
      <c r="J84" s="36"/>
      <c r="O84" s="72"/>
      <c r="P84" s="155"/>
      <c r="Q84" s="154"/>
      <c r="R84" s="154"/>
      <c r="S84" s="19"/>
      <c r="T84" s="19"/>
      <c r="U84" s="19"/>
      <c r="V84" s="19"/>
      <c r="W84" s="19"/>
      <c r="X84" s="19"/>
      <c r="Y84" s="19"/>
      <c r="Z84" s="19"/>
    </row>
    <row r="85" spans="1:240" ht="13.5">
      <c r="C85" s="46" t="s">
        <v>102</v>
      </c>
      <c r="D85" s="45" t="s">
        <v>28</v>
      </c>
      <c r="E85" s="30"/>
      <c r="F85" s="43"/>
      <c r="G85" s="43"/>
      <c r="H85" s="36"/>
      <c r="I85" s="36"/>
      <c r="J85" s="36"/>
      <c r="O85" s="72"/>
      <c r="P85" s="155"/>
      <c r="Q85" s="154"/>
      <c r="R85" s="154"/>
    </row>
    <row r="86" spans="1:240">
      <c r="C86" s="17" t="s">
        <v>29</v>
      </c>
      <c r="D86" s="45" t="s">
        <v>30</v>
      </c>
      <c r="E86" s="30"/>
      <c r="F86" s="43"/>
      <c r="G86" s="43"/>
      <c r="H86" s="36"/>
      <c r="I86" s="36"/>
      <c r="J86" s="36"/>
      <c r="O86" s="72"/>
      <c r="P86" s="72"/>
      <c r="Q86" s="72"/>
      <c r="R86" s="72"/>
    </row>
    <row r="87" spans="1:240">
      <c r="C87" s="17" t="s">
        <v>31</v>
      </c>
      <c r="D87" s="45" t="s">
        <v>32</v>
      </c>
      <c r="E87" s="30"/>
      <c r="F87" s="43"/>
      <c r="G87" s="43"/>
      <c r="H87" s="36"/>
      <c r="I87" s="36"/>
      <c r="J87" s="36"/>
      <c r="O87" s="72"/>
      <c r="P87" s="72"/>
      <c r="Q87" s="72"/>
      <c r="R87" s="72"/>
      <c r="S87" s="301" t="s">
        <v>50</v>
      </c>
      <c r="T87" s="301" t="s">
        <v>51</v>
      </c>
      <c r="U87" s="301"/>
      <c r="V87" s="301"/>
      <c r="W87" s="301"/>
      <c r="X87" s="301"/>
      <c r="Y87" s="301"/>
      <c r="Z87" s="301"/>
      <c r="AA87" s="301"/>
    </row>
    <row r="88" spans="1:240">
      <c r="D88" s="45" t="s">
        <v>33</v>
      </c>
      <c r="E88" s="30"/>
      <c r="F88" s="43"/>
      <c r="G88" s="43"/>
      <c r="H88" s="36"/>
      <c r="I88" s="36"/>
      <c r="J88" s="36"/>
      <c r="O88" s="19"/>
      <c r="S88" s="301"/>
      <c r="T88" s="116">
        <v>1.25</v>
      </c>
      <c r="U88" s="116">
        <v>1.5</v>
      </c>
      <c r="V88" s="116">
        <v>1.75</v>
      </c>
      <c r="W88" s="116">
        <v>2</v>
      </c>
      <c r="X88" s="116">
        <v>2.5</v>
      </c>
      <c r="Y88" s="116">
        <v>3</v>
      </c>
      <c r="Z88" s="116">
        <v>4</v>
      </c>
      <c r="AA88" s="116">
        <v>5</v>
      </c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  <c r="HO88" s="19"/>
      <c r="HP88" s="19"/>
      <c r="HQ88" s="19"/>
      <c r="HR88" s="19"/>
      <c r="HS88" s="19"/>
      <c r="HT88" s="19"/>
      <c r="HU88" s="19"/>
      <c r="HV88" s="19"/>
      <c r="HW88" s="19"/>
      <c r="HX88" s="19"/>
      <c r="HY88" s="19"/>
      <c r="HZ88" s="19"/>
      <c r="IA88" s="19"/>
      <c r="IB88" s="19"/>
      <c r="IC88" s="19"/>
      <c r="ID88" s="19"/>
      <c r="IE88" s="19"/>
      <c r="IF88" s="19"/>
    </row>
    <row r="89" spans="1:240">
      <c r="C89" s="17" t="s">
        <v>34</v>
      </c>
      <c r="D89" s="45" t="s">
        <v>35</v>
      </c>
      <c r="E89" s="30"/>
      <c r="F89" s="43"/>
      <c r="G89" s="43"/>
      <c r="H89" s="36"/>
      <c r="I89" s="36"/>
      <c r="J89" s="36"/>
      <c r="O89" s="19"/>
      <c r="S89" s="180">
        <v>5.0000000000000001E-3</v>
      </c>
      <c r="T89" s="21">
        <v>0.02</v>
      </c>
      <c r="U89" s="21">
        <v>0.05</v>
      </c>
      <c r="V89" s="21">
        <v>0.08</v>
      </c>
      <c r="W89" s="21">
        <v>0.12</v>
      </c>
      <c r="X89" s="21">
        <v>0.23</v>
      </c>
      <c r="Y89" s="21">
        <v>0.43</v>
      </c>
      <c r="Z89" s="21">
        <v>0.72</v>
      </c>
      <c r="AA89" s="21">
        <v>1</v>
      </c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</row>
    <row r="90" spans="1:240">
      <c r="C90" s="17" t="s">
        <v>36</v>
      </c>
      <c r="D90" s="45" t="s">
        <v>37</v>
      </c>
      <c r="E90" s="30"/>
      <c r="F90" s="43"/>
      <c r="G90" s="43"/>
      <c r="H90" s="36"/>
      <c r="I90" s="36"/>
      <c r="J90" s="36"/>
      <c r="O90" s="19"/>
      <c r="S90" s="180">
        <v>0.01</v>
      </c>
      <c r="T90" s="21">
        <v>0.03</v>
      </c>
      <c r="U90" s="21">
        <v>7.0000000000000007E-2</v>
      </c>
      <c r="V90" s="21">
        <v>0.11</v>
      </c>
      <c r="W90" s="21">
        <v>0.15</v>
      </c>
      <c r="X90" s="21">
        <v>0.27</v>
      </c>
      <c r="Y90" s="21">
        <v>0.47</v>
      </c>
      <c r="Z90" s="21">
        <v>0.74</v>
      </c>
      <c r="AA90" s="21">
        <v>1</v>
      </c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</row>
    <row r="91" spans="1:240" ht="13.5">
      <c r="C91" s="17" t="s">
        <v>38</v>
      </c>
      <c r="D91" s="45" t="s">
        <v>103</v>
      </c>
      <c r="E91" s="30"/>
      <c r="F91" s="43"/>
      <c r="G91" s="43"/>
      <c r="H91" s="36"/>
      <c r="I91" s="36"/>
      <c r="J91" s="36"/>
      <c r="O91" s="19"/>
      <c r="S91" s="180">
        <v>0.02</v>
      </c>
      <c r="T91" s="21">
        <v>0.05</v>
      </c>
      <c r="U91" s="21">
        <v>0.1</v>
      </c>
      <c r="V91" s="21">
        <v>0.15</v>
      </c>
      <c r="W91" s="21">
        <v>0.2</v>
      </c>
      <c r="X91" s="21">
        <v>0.32</v>
      </c>
      <c r="Y91" s="21">
        <v>0.52</v>
      </c>
      <c r="Z91" s="21">
        <v>0.77</v>
      </c>
      <c r="AA91" s="21">
        <v>1</v>
      </c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  <c r="HY91" s="19"/>
      <c r="HZ91" s="19"/>
      <c r="IA91" s="19"/>
      <c r="IB91" s="19"/>
      <c r="IC91" s="19"/>
      <c r="ID91" s="19"/>
      <c r="IE91" s="19"/>
    </row>
    <row r="92" spans="1:240">
      <c r="C92" s="17" t="s">
        <v>39</v>
      </c>
      <c r="D92" s="45" t="s">
        <v>40</v>
      </c>
      <c r="E92" s="30"/>
      <c r="F92" s="43"/>
      <c r="G92" s="43"/>
      <c r="H92" s="36"/>
      <c r="I92" s="36"/>
      <c r="J92" s="36"/>
      <c r="O92" s="19"/>
      <c r="S92" s="180">
        <v>0.05</v>
      </c>
      <c r="T92" s="21">
        <v>0.1</v>
      </c>
      <c r="U92" s="21">
        <v>0.15</v>
      </c>
      <c r="V92" s="21">
        <v>0.2</v>
      </c>
      <c r="W92" s="21">
        <v>0.27</v>
      </c>
      <c r="X92" s="21">
        <v>0.38</v>
      </c>
      <c r="Y92" s="21">
        <v>0.57999999999999996</v>
      </c>
      <c r="Z92" s="21">
        <v>0.8</v>
      </c>
      <c r="AA92" s="21">
        <v>1</v>
      </c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  <c r="HM92" s="19"/>
      <c r="HN92" s="19"/>
      <c r="HO92" s="19"/>
      <c r="HP92" s="19"/>
      <c r="HQ92" s="19"/>
      <c r="HR92" s="19"/>
      <c r="HS92" s="19"/>
      <c r="HT92" s="19"/>
      <c r="HU92" s="19"/>
      <c r="HV92" s="19"/>
      <c r="HW92" s="19"/>
      <c r="HX92" s="19"/>
      <c r="HY92" s="19"/>
      <c r="HZ92" s="19"/>
      <c r="IA92" s="19"/>
      <c r="IB92" s="19"/>
      <c r="IC92" s="19"/>
      <c r="ID92" s="19"/>
      <c r="IE92" s="19"/>
      <c r="IF92" s="19"/>
    </row>
    <row r="93" spans="1:240">
      <c r="D93" s="45" t="s">
        <v>199</v>
      </c>
      <c r="E93" s="30"/>
      <c r="F93" s="43"/>
      <c r="G93" s="43"/>
      <c r="H93" s="36"/>
      <c r="I93" s="36"/>
      <c r="J93" s="36"/>
      <c r="O93" s="19"/>
      <c r="S93" s="115">
        <v>0.1</v>
      </c>
      <c r="T93" s="21">
        <v>0.15</v>
      </c>
      <c r="U93" s="21">
        <v>0.2</v>
      </c>
      <c r="V93" s="21">
        <v>0.27</v>
      </c>
      <c r="W93" s="21">
        <v>0.35</v>
      </c>
      <c r="X93" s="21">
        <v>0.46</v>
      </c>
      <c r="Y93" s="21">
        <v>0.65</v>
      </c>
      <c r="Z93" s="21">
        <v>0.84</v>
      </c>
      <c r="AA93" s="21">
        <v>1</v>
      </c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</row>
    <row r="94" spans="1:240">
      <c r="D94" s="45" t="s">
        <v>200</v>
      </c>
      <c r="E94" s="30"/>
      <c r="F94" s="43"/>
      <c r="G94" s="43"/>
      <c r="H94" s="36"/>
      <c r="I94" s="36"/>
      <c r="J94" s="36"/>
      <c r="O94" s="19"/>
      <c r="S94" s="115">
        <v>0.2</v>
      </c>
      <c r="T94" s="21">
        <v>0.25</v>
      </c>
      <c r="U94" s="21">
        <v>0.3</v>
      </c>
      <c r="V94" s="21">
        <v>0.38</v>
      </c>
      <c r="W94" s="21">
        <v>0.47</v>
      </c>
      <c r="X94" s="21">
        <v>0.57999999999999996</v>
      </c>
      <c r="Y94" s="21">
        <v>0.75</v>
      </c>
      <c r="Z94" s="21">
        <v>0.88</v>
      </c>
      <c r="AA94" s="21">
        <v>1</v>
      </c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  <c r="HO94" s="19"/>
      <c r="HP94" s="19"/>
      <c r="HQ94" s="19"/>
      <c r="HR94" s="19"/>
      <c r="HS94" s="19"/>
      <c r="HT94" s="19"/>
      <c r="HU94" s="19"/>
      <c r="HV94" s="19"/>
      <c r="HW94" s="19"/>
      <c r="HX94" s="19"/>
      <c r="HY94" s="19"/>
      <c r="HZ94" s="19"/>
      <c r="IA94" s="19"/>
      <c r="IB94" s="19"/>
      <c r="IC94" s="19"/>
      <c r="ID94" s="19"/>
      <c r="IE94" s="19"/>
      <c r="IF94" s="19"/>
    </row>
    <row r="95" spans="1:240">
      <c r="D95" s="45" t="s">
        <v>201</v>
      </c>
      <c r="E95" s="30"/>
      <c r="F95" s="43"/>
      <c r="G95" s="43"/>
      <c r="H95" s="36"/>
      <c r="I95" s="36"/>
      <c r="J95" s="36"/>
      <c r="O95" s="19"/>
      <c r="S95" s="115">
        <v>0.4</v>
      </c>
      <c r="T95" s="21">
        <v>0.45</v>
      </c>
      <c r="U95" s="21">
        <v>0.5</v>
      </c>
      <c r="V95" s="21">
        <v>0.56000000000000005</v>
      </c>
      <c r="W95" s="21">
        <v>0.64</v>
      </c>
      <c r="X95" s="21">
        <v>0.75</v>
      </c>
      <c r="Y95" s="21">
        <v>0.85</v>
      </c>
      <c r="Z95" s="21">
        <v>0.93</v>
      </c>
      <c r="AA95" s="21">
        <v>1</v>
      </c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  <c r="HK95" s="19"/>
      <c r="HL95" s="19"/>
      <c r="HM95" s="19"/>
      <c r="HN95" s="19"/>
      <c r="HO95" s="19"/>
      <c r="HP95" s="19"/>
      <c r="HQ95" s="19"/>
      <c r="HR95" s="19"/>
      <c r="HS95" s="19"/>
      <c r="HT95" s="19"/>
      <c r="HU95" s="19"/>
      <c r="HV95" s="19"/>
      <c r="HW95" s="19"/>
      <c r="HX95" s="19"/>
      <c r="HY95" s="19"/>
      <c r="HZ95" s="19"/>
      <c r="IA95" s="19"/>
      <c r="IB95" s="19"/>
      <c r="IC95" s="19"/>
      <c r="ID95" s="19"/>
      <c r="IE95" s="19"/>
      <c r="IF95" s="19"/>
    </row>
    <row r="96" spans="1:240">
      <c r="D96" s="45"/>
      <c r="E96" s="30"/>
      <c r="F96" s="43"/>
      <c r="G96" s="43"/>
      <c r="H96" s="36"/>
      <c r="I96" s="36"/>
      <c r="J96" s="36"/>
      <c r="O96" s="19"/>
      <c r="S96" s="115">
        <v>0.6</v>
      </c>
      <c r="T96" s="21">
        <v>0.65</v>
      </c>
      <c r="U96" s="21">
        <v>0.7</v>
      </c>
      <c r="V96" s="21">
        <v>0.75</v>
      </c>
      <c r="W96" s="21">
        <v>0.81</v>
      </c>
      <c r="X96" s="21">
        <v>0.87</v>
      </c>
      <c r="Y96" s="21">
        <v>0.94</v>
      </c>
      <c r="Z96" s="21">
        <v>0.98</v>
      </c>
      <c r="AA96" s="21">
        <v>1</v>
      </c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  <c r="HK96" s="19"/>
      <c r="HL96" s="19"/>
      <c r="HM96" s="19"/>
      <c r="HN96" s="19"/>
      <c r="HO96" s="19"/>
      <c r="HP96" s="19"/>
      <c r="HQ96" s="19"/>
      <c r="HR96" s="19"/>
      <c r="HS96" s="19"/>
      <c r="HT96" s="19"/>
      <c r="HU96" s="19"/>
      <c r="HV96" s="19"/>
      <c r="HW96" s="19"/>
      <c r="HX96" s="19"/>
      <c r="HY96" s="19"/>
      <c r="HZ96" s="19"/>
      <c r="IA96" s="19"/>
      <c r="IB96" s="19"/>
      <c r="IC96" s="19"/>
      <c r="ID96" s="19"/>
      <c r="IE96" s="19"/>
      <c r="IF96" s="19"/>
    </row>
    <row r="97" spans="1:240">
      <c r="D97" s="37"/>
      <c r="E97" s="30"/>
      <c r="F97" s="43"/>
      <c r="G97" s="43"/>
      <c r="H97" s="36"/>
      <c r="I97" s="36"/>
      <c r="J97" s="36"/>
      <c r="O97" s="180" t="s">
        <v>198</v>
      </c>
      <c r="P97" s="180" t="s">
        <v>46</v>
      </c>
      <c r="Q97" s="180" t="s">
        <v>197</v>
      </c>
      <c r="S97" s="115">
        <v>0.8</v>
      </c>
      <c r="T97" s="21">
        <v>0.84</v>
      </c>
      <c r="U97" s="21">
        <v>0.87</v>
      </c>
      <c r="V97" s="21">
        <v>0.9</v>
      </c>
      <c r="W97" s="21">
        <v>0.93</v>
      </c>
      <c r="X97" s="21">
        <v>0.96</v>
      </c>
      <c r="Y97" s="21">
        <v>0.98</v>
      </c>
      <c r="Z97" s="21">
        <v>1</v>
      </c>
      <c r="AA97" s="21">
        <v>1</v>
      </c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  <c r="HM97" s="19"/>
      <c r="HN97" s="19"/>
      <c r="HO97" s="19"/>
      <c r="HP97" s="19"/>
      <c r="HQ97" s="19"/>
      <c r="HR97" s="19"/>
      <c r="HS97" s="19"/>
      <c r="HT97" s="19"/>
      <c r="HU97" s="19"/>
      <c r="HV97" s="19"/>
      <c r="HW97" s="19"/>
      <c r="HX97" s="19"/>
      <c r="HY97" s="19"/>
      <c r="HZ97" s="19"/>
      <c r="IA97" s="19"/>
      <c r="IB97" s="19"/>
      <c r="IC97" s="19"/>
      <c r="ID97" s="19"/>
      <c r="IE97" s="19"/>
      <c r="IF97" s="19"/>
    </row>
    <row r="98" spans="1:240">
      <c r="A98" s="17" t="s">
        <v>41</v>
      </c>
      <c r="I98" s="36"/>
      <c r="J98" s="36"/>
      <c r="O98" s="182">
        <v>1</v>
      </c>
      <c r="P98" s="182">
        <v>0.105</v>
      </c>
      <c r="Q98" s="182">
        <v>14000</v>
      </c>
      <c r="S98" s="115">
        <v>1</v>
      </c>
      <c r="T98" s="21">
        <v>1</v>
      </c>
      <c r="U98" s="21">
        <v>1</v>
      </c>
      <c r="V98" s="21">
        <v>1</v>
      </c>
      <c r="W98" s="21">
        <v>1</v>
      </c>
      <c r="X98" s="21">
        <v>1</v>
      </c>
      <c r="Y98" s="21">
        <v>1</v>
      </c>
      <c r="Z98" s="21">
        <v>1</v>
      </c>
      <c r="AA98" s="21">
        <v>1</v>
      </c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  <c r="CW98" s="19"/>
      <c r="CX98" s="19"/>
      <c r="CY98" s="19"/>
      <c r="CZ98" s="19"/>
      <c r="DA98" s="19"/>
      <c r="DB98" s="19"/>
      <c r="DC98" s="19"/>
      <c r="DD98" s="19"/>
      <c r="DE98" s="19"/>
      <c r="DF98" s="19"/>
      <c r="DG98" s="19"/>
      <c r="DH98" s="19"/>
      <c r="DI98" s="19"/>
      <c r="DJ98" s="19"/>
      <c r="DK98" s="19"/>
      <c r="DL98" s="19"/>
      <c r="DM98" s="19"/>
      <c r="DN98" s="19"/>
      <c r="DO98" s="19"/>
      <c r="DP98" s="19"/>
      <c r="DQ98" s="19"/>
      <c r="DR98" s="19"/>
      <c r="DS98" s="19"/>
      <c r="DT98" s="19"/>
      <c r="DU98" s="19"/>
      <c r="DV98" s="19"/>
      <c r="DW98" s="19"/>
      <c r="DX98" s="19"/>
      <c r="DY98" s="19"/>
      <c r="DZ98" s="19"/>
      <c r="EA98" s="19"/>
      <c r="EB98" s="19"/>
      <c r="EC98" s="19"/>
      <c r="ED98" s="19"/>
      <c r="EE98" s="19"/>
      <c r="EF98" s="19"/>
      <c r="EG98" s="19"/>
      <c r="EH98" s="19"/>
      <c r="EI98" s="19"/>
      <c r="EJ98" s="19"/>
      <c r="EK98" s="19"/>
      <c r="EL98" s="19"/>
      <c r="EM98" s="19"/>
      <c r="EN98" s="19"/>
      <c r="EO98" s="19"/>
      <c r="EP98" s="19"/>
      <c r="EQ98" s="19"/>
      <c r="ER98" s="19"/>
      <c r="ES98" s="19"/>
      <c r="ET98" s="19"/>
      <c r="EU98" s="19"/>
      <c r="EV98" s="19"/>
      <c r="EW98" s="19"/>
      <c r="EX98" s="19"/>
      <c r="EY98" s="19"/>
      <c r="EZ98" s="19"/>
      <c r="FA98" s="19"/>
      <c r="FB98" s="19"/>
      <c r="FC98" s="19"/>
      <c r="FD98" s="19"/>
      <c r="FE98" s="19"/>
      <c r="FF98" s="19"/>
      <c r="FG98" s="19"/>
      <c r="FH98" s="19"/>
      <c r="FI98" s="19"/>
      <c r="FJ98" s="19"/>
      <c r="FK98" s="19"/>
      <c r="FL98" s="19"/>
      <c r="FM98" s="19"/>
      <c r="FN98" s="19"/>
      <c r="FO98" s="19"/>
      <c r="FP98" s="19"/>
      <c r="FQ98" s="19"/>
      <c r="FR98" s="19"/>
      <c r="FS98" s="19"/>
      <c r="FT98" s="19"/>
      <c r="FU98" s="19"/>
      <c r="FV98" s="19"/>
      <c r="FW98" s="19"/>
      <c r="FX98" s="19"/>
      <c r="FY98" s="19"/>
      <c r="FZ98" s="19"/>
      <c r="GA98" s="19"/>
      <c r="GB98" s="19"/>
      <c r="GC98" s="19"/>
      <c r="GD98" s="19"/>
      <c r="GE98" s="19"/>
      <c r="GF98" s="19"/>
      <c r="GG98" s="19"/>
      <c r="GH98" s="19"/>
      <c r="GI98" s="19"/>
      <c r="GJ98" s="19"/>
      <c r="GK98" s="19"/>
      <c r="GL98" s="19"/>
      <c r="GM98" s="19"/>
      <c r="GN98" s="19"/>
      <c r="GO98" s="19"/>
      <c r="GP98" s="19"/>
      <c r="GQ98" s="19"/>
      <c r="GR98" s="19"/>
      <c r="GS98" s="19"/>
      <c r="GT98" s="19"/>
      <c r="GU98" s="19"/>
      <c r="GV98" s="19"/>
      <c r="GW98" s="19"/>
      <c r="GX98" s="19"/>
      <c r="GY98" s="19"/>
      <c r="GZ98" s="19"/>
      <c r="HA98" s="19"/>
      <c r="HB98" s="19"/>
      <c r="HC98" s="19"/>
      <c r="HD98" s="19"/>
      <c r="HE98" s="19"/>
      <c r="HF98" s="19"/>
      <c r="HG98" s="19"/>
      <c r="HH98" s="19"/>
      <c r="HI98" s="19"/>
      <c r="HJ98" s="19"/>
      <c r="HK98" s="19"/>
      <c r="HL98" s="19"/>
      <c r="HM98" s="19"/>
      <c r="HN98" s="19"/>
      <c r="HO98" s="19"/>
      <c r="HP98" s="19"/>
      <c r="HQ98" s="19"/>
      <c r="HR98" s="19"/>
      <c r="HS98" s="19"/>
      <c r="HT98" s="19"/>
      <c r="HU98" s="19"/>
      <c r="HV98" s="19"/>
      <c r="HW98" s="19"/>
      <c r="HX98" s="19"/>
      <c r="HY98" s="19"/>
      <c r="HZ98" s="19"/>
      <c r="IA98" s="19"/>
      <c r="IB98" s="19"/>
      <c r="IC98" s="19"/>
      <c r="ID98" s="19"/>
      <c r="IE98" s="19"/>
      <c r="IF98" s="19"/>
    </row>
    <row r="99" spans="1:240">
      <c r="C99" s="47"/>
      <c r="I99" s="36"/>
      <c r="J99" s="36"/>
      <c r="O99" s="117">
        <v>2</v>
      </c>
      <c r="P99" s="117">
        <v>0.1</v>
      </c>
      <c r="Q99" s="117">
        <v>11000</v>
      </c>
      <c r="S99" s="115">
        <v>1.5</v>
      </c>
      <c r="T99" s="21">
        <v>1.4</v>
      </c>
      <c r="U99" s="21">
        <v>1.3</v>
      </c>
      <c r="V99" s="21">
        <v>1.2</v>
      </c>
      <c r="W99" s="21">
        <v>1.1200000000000001</v>
      </c>
      <c r="X99" s="21">
        <v>1.06</v>
      </c>
      <c r="Y99" s="21">
        <v>1.03</v>
      </c>
      <c r="Z99" s="21">
        <v>1</v>
      </c>
      <c r="AA99" s="21">
        <v>1</v>
      </c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  <c r="CW99" s="19"/>
      <c r="CX99" s="19"/>
      <c r="CY99" s="19"/>
      <c r="CZ99" s="19"/>
      <c r="DA99" s="19"/>
      <c r="DB99" s="19"/>
      <c r="DC99" s="19"/>
      <c r="DD99" s="19"/>
      <c r="DE99" s="19"/>
      <c r="DF99" s="19"/>
      <c r="DG99" s="19"/>
      <c r="DH99" s="19"/>
      <c r="DI99" s="19"/>
      <c r="DJ99" s="19"/>
      <c r="DK99" s="19"/>
      <c r="DL99" s="19"/>
      <c r="DM99" s="19"/>
      <c r="DN99" s="19"/>
      <c r="DO99" s="19"/>
      <c r="DP99" s="19"/>
      <c r="DQ99" s="19"/>
      <c r="DR99" s="19"/>
      <c r="DS99" s="19"/>
      <c r="DT99" s="19"/>
      <c r="DU99" s="19"/>
      <c r="DV99" s="19"/>
      <c r="DW99" s="19"/>
      <c r="DX99" s="19"/>
      <c r="DY99" s="19"/>
      <c r="DZ99" s="19"/>
      <c r="EA99" s="19"/>
      <c r="EB99" s="19"/>
      <c r="EC99" s="19"/>
      <c r="ED99" s="19"/>
      <c r="EE99" s="19"/>
      <c r="EF99" s="19"/>
      <c r="EG99" s="19"/>
      <c r="EH99" s="19"/>
      <c r="EI99" s="19"/>
      <c r="EJ99" s="19"/>
      <c r="EK99" s="19"/>
      <c r="EL99" s="19"/>
      <c r="EM99" s="19"/>
      <c r="EN99" s="19"/>
      <c r="EO99" s="19"/>
      <c r="EP99" s="19"/>
      <c r="EQ99" s="19"/>
      <c r="ER99" s="19"/>
      <c r="ES99" s="19"/>
      <c r="ET99" s="19"/>
      <c r="EU99" s="19"/>
      <c r="EV99" s="19"/>
      <c r="EW99" s="19"/>
      <c r="EX99" s="19"/>
      <c r="EY99" s="19"/>
      <c r="EZ99" s="19"/>
      <c r="FA99" s="19"/>
      <c r="FB99" s="19"/>
      <c r="FC99" s="19"/>
      <c r="FD99" s="19"/>
      <c r="FE99" s="19"/>
      <c r="FF99" s="19"/>
      <c r="FG99" s="19"/>
      <c r="FH99" s="19"/>
      <c r="FI99" s="19"/>
      <c r="FJ99" s="19"/>
      <c r="FK99" s="19"/>
      <c r="FL99" s="19"/>
      <c r="FM99" s="19"/>
      <c r="FN99" s="19"/>
      <c r="FO99" s="19"/>
      <c r="FP99" s="19"/>
      <c r="FQ99" s="19"/>
      <c r="FR99" s="19"/>
      <c r="FS99" s="19"/>
      <c r="FT99" s="19"/>
      <c r="FU99" s="19"/>
      <c r="FV99" s="19"/>
      <c r="FW99" s="19"/>
      <c r="FX99" s="19"/>
      <c r="FY99" s="19"/>
      <c r="FZ99" s="19"/>
      <c r="GA99" s="19"/>
      <c r="GB99" s="19"/>
      <c r="GC99" s="19"/>
      <c r="GD99" s="19"/>
      <c r="GE99" s="19"/>
      <c r="GF99" s="19"/>
      <c r="GG99" s="19"/>
      <c r="GH99" s="19"/>
      <c r="GI99" s="19"/>
      <c r="GJ99" s="19"/>
      <c r="GK99" s="19"/>
      <c r="GL99" s="19"/>
      <c r="GM99" s="19"/>
      <c r="GN99" s="19"/>
      <c r="GO99" s="19"/>
      <c r="GP99" s="19"/>
      <c r="GQ99" s="19"/>
      <c r="GR99" s="19"/>
      <c r="GS99" s="19"/>
      <c r="GT99" s="19"/>
      <c r="GU99" s="19"/>
      <c r="GV99" s="19"/>
      <c r="GW99" s="19"/>
      <c r="GX99" s="19"/>
      <c r="GY99" s="19"/>
      <c r="GZ99" s="19"/>
      <c r="HA99" s="19"/>
      <c r="HB99" s="19"/>
      <c r="HC99" s="19"/>
      <c r="HD99" s="19"/>
      <c r="HE99" s="19"/>
      <c r="HF99" s="19"/>
      <c r="HG99" s="19"/>
      <c r="HH99" s="19"/>
      <c r="HI99" s="19"/>
      <c r="HJ99" s="19"/>
      <c r="HK99" s="19"/>
      <c r="HL99" s="19"/>
      <c r="HM99" s="19"/>
      <c r="HN99" s="19"/>
      <c r="HO99" s="19"/>
      <c r="HP99" s="19"/>
      <c r="HQ99" s="19"/>
      <c r="HR99" s="19"/>
      <c r="HS99" s="19"/>
      <c r="HT99" s="19"/>
      <c r="HU99" s="19"/>
      <c r="HV99" s="19"/>
      <c r="HW99" s="19"/>
      <c r="HX99" s="19"/>
      <c r="HY99" s="19"/>
      <c r="HZ99" s="19"/>
      <c r="IA99" s="19"/>
      <c r="IB99" s="19"/>
      <c r="IC99" s="19"/>
      <c r="ID99" s="19"/>
      <c r="IE99" s="19"/>
      <c r="IF99" s="19"/>
    </row>
    <row r="100" spans="1:240" ht="13.5">
      <c r="B100" s="48" t="s">
        <v>102</v>
      </c>
      <c r="C100" s="49"/>
      <c r="D100" s="41">
        <v>1.5</v>
      </c>
      <c r="E100" s="72"/>
      <c r="F100" s="72"/>
      <c r="G100" s="72"/>
      <c r="H100" s="72"/>
      <c r="I100" s="36"/>
      <c r="J100" s="36"/>
      <c r="K100" s="72"/>
      <c r="L100" s="72"/>
      <c r="O100" s="182">
        <v>3</v>
      </c>
      <c r="P100" s="182">
        <v>9.6000000000000002E-2</v>
      </c>
      <c r="Q100" s="182">
        <v>4000</v>
      </c>
      <c r="S100" s="115">
        <v>2</v>
      </c>
      <c r="T100" s="21">
        <v>1.7</v>
      </c>
      <c r="U100" s="21">
        <v>1.5</v>
      </c>
      <c r="V100" s="21">
        <v>1.4</v>
      </c>
      <c r="W100" s="21">
        <v>1.3</v>
      </c>
      <c r="X100" s="21">
        <v>1.2</v>
      </c>
      <c r="Y100" s="21">
        <v>1.1000000000000001</v>
      </c>
      <c r="Z100" s="21">
        <v>1.05</v>
      </c>
      <c r="AA100" s="21">
        <v>1</v>
      </c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  <c r="CW100" s="19"/>
      <c r="CX100" s="19"/>
      <c r="CY100" s="19"/>
      <c r="CZ100" s="19"/>
      <c r="DA100" s="19"/>
      <c r="DB100" s="19"/>
      <c r="DC100" s="19"/>
      <c r="DD100" s="19"/>
      <c r="DE100" s="19"/>
      <c r="DF100" s="19"/>
      <c r="DG100" s="19"/>
      <c r="DH100" s="19"/>
      <c r="DI100" s="19"/>
      <c r="DJ100" s="19"/>
      <c r="DK100" s="19"/>
      <c r="DL100" s="19"/>
      <c r="DM100" s="19"/>
      <c r="DN100" s="19"/>
      <c r="DO100" s="19"/>
      <c r="DP100" s="19"/>
      <c r="DQ100" s="19"/>
      <c r="DR100" s="19"/>
      <c r="DS100" s="19"/>
      <c r="DT100" s="19"/>
      <c r="DU100" s="19"/>
      <c r="DV100" s="19"/>
      <c r="DW100" s="19"/>
      <c r="DX100" s="19"/>
      <c r="DY100" s="19"/>
      <c r="DZ100" s="19"/>
      <c r="EA100" s="19"/>
      <c r="EB100" s="19"/>
      <c r="EC100" s="19"/>
      <c r="ED100" s="19"/>
      <c r="EE100" s="19"/>
      <c r="EF100" s="19"/>
      <c r="EG100" s="19"/>
      <c r="EH100" s="19"/>
      <c r="EI100" s="19"/>
      <c r="EJ100" s="19"/>
      <c r="EK100" s="19"/>
      <c r="EL100" s="19"/>
      <c r="EM100" s="19"/>
      <c r="EN100" s="19"/>
      <c r="EO100" s="19"/>
      <c r="EP100" s="19"/>
      <c r="EQ100" s="19"/>
      <c r="ER100" s="19"/>
      <c r="ES100" s="19"/>
      <c r="ET100" s="19"/>
      <c r="EU100" s="19"/>
      <c r="EV100" s="19"/>
      <c r="EW100" s="19"/>
      <c r="EX100" s="19"/>
      <c r="EY100" s="19"/>
      <c r="EZ100" s="19"/>
      <c r="FA100" s="19"/>
      <c r="FB100" s="19"/>
      <c r="FC100" s="19"/>
      <c r="FD100" s="19"/>
      <c r="FE100" s="19"/>
      <c r="FF100" s="19"/>
      <c r="FG100" s="19"/>
      <c r="FH100" s="19"/>
      <c r="FI100" s="19"/>
      <c r="FJ100" s="19"/>
      <c r="FK100" s="19"/>
      <c r="FL100" s="19"/>
      <c r="FM100" s="19"/>
      <c r="FN100" s="19"/>
      <c r="FO100" s="19"/>
      <c r="FP100" s="19"/>
      <c r="FQ100" s="19"/>
      <c r="FR100" s="19"/>
      <c r="FS100" s="19"/>
      <c r="FT100" s="19"/>
      <c r="FU100" s="19"/>
      <c r="FV100" s="19"/>
      <c r="FW100" s="19"/>
      <c r="FX100" s="19"/>
      <c r="FY100" s="19"/>
      <c r="FZ100" s="19"/>
      <c r="GA100" s="19"/>
      <c r="GB100" s="19"/>
      <c r="GC100" s="19"/>
      <c r="GD100" s="19"/>
      <c r="GE100" s="19"/>
      <c r="GF100" s="19"/>
      <c r="GG100" s="19"/>
      <c r="GH100" s="19"/>
      <c r="GI100" s="19"/>
      <c r="GJ100" s="19"/>
      <c r="GK100" s="19"/>
      <c r="GL100" s="19"/>
      <c r="GM100" s="19"/>
      <c r="GN100" s="19"/>
      <c r="GO100" s="19"/>
      <c r="GP100" s="19"/>
      <c r="GQ100" s="19"/>
      <c r="GR100" s="19"/>
      <c r="GS100" s="19"/>
      <c r="GT100" s="19"/>
      <c r="GU100" s="19"/>
      <c r="GV100" s="19"/>
      <c r="GW100" s="19"/>
      <c r="GX100" s="19"/>
      <c r="GY100" s="19"/>
      <c r="GZ100" s="19"/>
      <c r="HA100" s="19"/>
      <c r="HB100" s="19"/>
      <c r="HC100" s="19"/>
      <c r="HD100" s="19"/>
      <c r="HE100" s="19"/>
      <c r="HF100" s="19"/>
      <c r="HG100" s="19"/>
      <c r="HH100" s="19"/>
      <c r="HI100" s="19"/>
      <c r="HJ100" s="19"/>
      <c r="HK100" s="19"/>
      <c r="HL100" s="19"/>
      <c r="HM100" s="19"/>
      <c r="HN100" s="19"/>
      <c r="HO100" s="19"/>
      <c r="HP100" s="19"/>
      <c r="HQ100" s="19"/>
      <c r="HR100" s="19"/>
      <c r="HS100" s="19"/>
      <c r="HT100" s="19"/>
      <c r="HU100" s="19"/>
      <c r="HV100" s="19"/>
      <c r="HW100" s="19"/>
      <c r="HX100" s="19"/>
      <c r="HY100" s="19"/>
      <c r="HZ100" s="19"/>
      <c r="IA100" s="19"/>
      <c r="IB100" s="19"/>
      <c r="IC100" s="19"/>
      <c r="ID100" s="19"/>
      <c r="IE100" s="19"/>
      <c r="IF100" s="19"/>
    </row>
    <row r="101" spans="1:240" ht="13.5">
      <c r="B101" s="50" t="s">
        <v>104</v>
      </c>
      <c r="C101" s="51"/>
      <c r="D101" s="53">
        <f>0.149*57</f>
        <v>8.4930000000000003</v>
      </c>
      <c r="E101" s="123" t="s">
        <v>42</v>
      </c>
      <c r="F101" s="72"/>
      <c r="G101" s="72"/>
      <c r="H101" s="72"/>
      <c r="I101" s="36"/>
      <c r="J101" s="36"/>
      <c r="K101" s="72"/>
      <c r="L101" s="72"/>
      <c r="O101" s="182">
        <v>4</v>
      </c>
      <c r="P101" s="182">
        <v>0.1</v>
      </c>
      <c r="Q101" s="182">
        <v>16000</v>
      </c>
      <c r="S101" s="115">
        <v>3</v>
      </c>
      <c r="T101" s="21">
        <v>2.2000000000000002</v>
      </c>
      <c r="U101" s="21">
        <v>1.8</v>
      </c>
      <c r="V101" s="21">
        <v>1.65</v>
      </c>
      <c r="W101" s="21">
        <v>1.5</v>
      </c>
      <c r="X101" s="21">
        <v>1.35</v>
      </c>
      <c r="Y101" s="239">
        <v>1.2</v>
      </c>
      <c r="Z101" s="239">
        <v>1.1000000000000001</v>
      </c>
      <c r="AA101" s="21">
        <v>1</v>
      </c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  <c r="DC101" s="19"/>
      <c r="DD101" s="19"/>
      <c r="DE101" s="19"/>
      <c r="DF101" s="19"/>
      <c r="DG101" s="19"/>
      <c r="DH101" s="19"/>
      <c r="DI101" s="19"/>
      <c r="DJ101" s="19"/>
      <c r="DK101" s="19"/>
      <c r="DL101" s="19"/>
      <c r="DM101" s="19"/>
      <c r="DN101" s="19"/>
      <c r="DO101" s="19"/>
      <c r="DP101" s="19"/>
      <c r="DQ101" s="19"/>
      <c r="DR101" s="19"/>
      <c r="DS101" s="19"/>
      <c r="DT101" s="19"/>
      <c r="DU101" s="19"/>
      <c r="DV101" s="19"/>
      <c r="DW101" s="19"/>
      <c r="DX101" s="19"/>
      <c r="DY101" s="19"/>
      <c r="DZ101" s="19"/>
      <c r="EA101" s="19"/>
      <c r="EB101" s="19"/>
      <c r="EC101" s="19"/>
      <c r="ED101" s="19"/>
      <c r="EE101" s="19"/>
      <c r="EF101" s="19"/>
      <c r="EG101" s="19"/>
      <c r="EH101" s="19"/>
      <c r="EI101" s="19"/>
      <c r="EJ101" s="19"/>
      <c r="EK101" s="19"/>
      <c r="EL101" s="19"/>
      <c r="EM101" s="19"/>
      <c r="EN101" s="19"/>
      <c r="EO101" s="19"/>
      <c r="EP101" s="19"/>
      <c r="EQ101" s="19"/>
      <c r="ER101" s="19"/>
      <c r="ES101" s="19"/>
      <c r="ET101" s="19"/>
      <c r="EU101" s="19"/>
      <c r="EV101" s="19"/>
      <c r="EW101" s="19"/>
      <c r="EX101" s="19"/>
      <c r="EY101" s="19"/>
      <c r="EZ101" s="19"/>
      <c r="FA101" s="19"/>
      <c r="FB101" s="19"/>
      <c r="FC101" s="19"/>
      <c r="FD101" s="19"/>
      <c r="FE101" s="19"/>
      <c r="FF101" s="19"/>
      <c r="FG101" s="19"/>
      <c r="FH101" s="19"/>
      <c r="FI101" s="19"/>
      <c r="FJ101" s="19"/>
      <c r="FK101" s="19"/>
      <c r="FL101" s="19"/>
      <c r="FM101" s="19"/>
      <c r="FN101" s="19"/>
      <c r="FO101" s="19"/>
      <c r="FP101" s="19"/>
      <c r="FQ101" s="19"/>
      <c r="FR101" s="19"/>
      <c r="FS101" s="19"/>
      <c r="FT101" s="19"/>
      <c r="FU101" s="19"/>
      <c r="FV101" s="19"/>
      <c r="FW101" s="19"/>
      <c r="FX101" s="19"/>
      <c r="FY101" s="19"/>
      <c r="FZ101" s="19"/>
      <c r="GA101" s="19"/>
      <c r="GB101" s="19"/>
      <c r="GC101" s="19"/>
      <c r="GD101" s="19"/>
      <c r="GE101" s="19"/>
      <c r="GF101" s="19"/>
      <c r="GG101" s="19"/>
      <c r="GH101" s="19"/>
      <c r="GI101" s="19"/>
      <c r="GJ101" s="19"/>
      <c r="GK101" s="19"/>
      <c r="GL101" s="19"/>
      <c r="GM101" s="19"/>
      <c r="GN101" s="19"/>
      <c r="GO101" s="19"/>
      <c r="GP101" s="19"/>
      <c r="GQ101" s="19"/>
      <c r="GR101" s="19"/>
      <c r="GS101" s="19"/>
      <c r="GT101" s="19"/>
      <c r="GU101" s="19"/>
      <c r="GV101" s="19"/>
      <c r="GW101" s="19"/>
      <c r="GX101" s="19"/>
      <c r="GY101" s="19"/>
      <c r="GZ101" s="19"/>
      <c r="HA101" s="19"/>
      <c r="HB101" s="19"/>
      <c r="HC101" s="19"/>
      <c r="HD101" s="19"/>
      <c r="HE101" s="19"/>
      <c r="HF101" s="19"/>
      <c r="HG101" s="19"/>
      <c r="HH101" s="19"/>
      <c r="HI101" s="19"/>
      <c r="HJ101" s="19"/>
      <c r="HK101" s="19"/>
      <c r="HL101" s="19"/>
      <c r="HM101" s="19"/>
      <c r="HN101" s="19"/>
      <c r="HO101" s="19"/>
      <c r="HP101" s="19"/>
      <c r="HQ101" s="19"/>
      <c r="HR101" s="19"/>
      <c r="HS101" s="19"/>
      <c r="HT101" s="19"/>
      <c r="HU101" s="19"/>
      <c r="HV101" s="19"/>
      <c r="HW101" s="19"/>
      <c r="HX101" s="19"/>
      <c r="HY101" s="19"/>
      <c r="HZ101" s="19"/>
      <c r="IA101" s="19"/>
      <c r="IB101" s="19"/>
      <c r="IC101" s="19"/>
      <c r="ID101" s="19"/>
      <c r="IE101" s="19"/>
      <c r="IF101" s="19"/>
    </row>
    <row r="102" spans="1:240" ht="13.5">
      <c r="B102" s="50" t="s">
        <v>105</v>
      </c>
      <c r="C102" s="51"/>
      <c r="D102" s="54">
        <f>D101/14.21*100</f>
        <v>59.767769176636165</v>
      </c>
      <c r="E102" s="123" t="s">
        <v>43</v>
      </c>
      <c r="F102" s="123"/>
      <c r="G102" s="123"/>
      <c r="H102" s="123"/>
      <c r="I102" s="60"/>
      <c r="J102" s="60"/>
      <c r="K102" s="123"/>
      <c r="L102" s="72"/>
      <c r="S102" s="115">
        <v>5</v>
      </c>
      <c r="T102" s="21">
        <v>3</v>
      </c>
      <c r="U102" s="21">
        <v>2.2000000000000002</v>
      </c>
      <c r="V102" s="21">
        <v>1.9</v>
      </c>
      <c r="W102" s="21">
        <v>1.7</v>
      </c>
      <c r="X102" s="21">
        <v>1.5</v>
      </c>
      <c r="Y102" s="239">
        <v>1.3</v>
      </c>
      <c r="Z102" s="239">
        <v>1.1499999999999999</v>
      </c>
      <c r="AA102" s="21">
        <v>1</v>
      </c>
    </row>
    <row r="103" spans="1:240" ht="13.5">
      <c r="B103" s="50" t="s">
        <v>104</v>
      </c>
      <c r="C103" s="51"/>
      <c r="D103" s="53">
        <f>0.149*28</f>
        <v>4.1719999999999997</v>
      </c>
      <c r="E103" s="123" t="s">
        <v>132</v>
      </c>
      <c r="F103" s="123"/>
      <c r="G103" s="123"/>
      <c r="H103" s="123"/>
      <c r="I103" s="60"/>
      <c r="J103" s="60"/>
      <c r="K103" s="123"/>
      <c r="L103" s="72"/>
    </row>
    <row r="104" spans="1:240" ht="13.5">
      <c r="B104" s="50" t="s">
        <v>105</v>
      </c>
      <c r="C104" s="51"/>
      <c r="D104" s="54">
        <f>D103/14.21*100</f>
        <v>29.359605911330043</v>
      </c>
      <c r="E104" s="123" t="s">
        <v>44</v>
      </c>
      <c r="F104" s="123"/>
      <c r="G104" s="123"/>
      <c r="H104" s="123"/>
      <c r="I104" s="60"/>
      <c r="J104" s="60"/>
      <c r="K104" s="123"/>
      <c r="L104" s="72"/>
    </row>
    <row r="105" spans="1:240" ht="13.5">
      <c r="B105" s="50" t="s">
        <v>213</v>
      </c>
      <c r="C105" s="49"/>
      <c r="D105" s="55">
        <v>44000</v>
      </c>
      <c r="E105" s="123" t="s">
        <v>325</v>
      </c>
      <c r="F105" s="123"/>
      <c r="G105" s="123"/>
      <c r="H105" s="123"/>
      <c r="I105" s="60"/>
      <c r="J105" s="60"/>
      <c r="K105" s="123"/>
      <c r="L105" s="72"/>
    </row>
    <row r="106" spans="1:240" s="56" customFormat="1">
      <c r="D106" s="57"/>
      <c r="E106" s="58"/>
      <c r="F106" s="59"/>
      <c r="G106" s="59"/>
      <c r="H106" s="60"/>
      <c r="I106" s="60"/>
      <c r="J106" s="60"/>
      <c r="S106" s="17"/>
      <c r="W106" s="17"/>
      <c r="X106" s="17"/>
    </row>
    <row r="107" spans="1:240" s="31" customFormat="1" ht="25.5">
      <c r="B107" s="186" t="str">
        <f>B$40</f>
        <v>Pozo de</v>
      </c>
      <c r="C107" s="186" t="str">
        <f>C$40</f>
        <v>Pozo a</v>
      </c>
      <c r="D107" s="186" t="s">
        <v>130</v>
      </c>
      <c r="E107" s="186" t="s">
        <v>208</v>
      </c>
      <c r="F107" s="186" t="str">
        <f>I40</f>
        <v>Ancho zanja
Bd (m)</v>
      </c>
      <c r="G107" s="142" t="s">
        <v>212</v>
      </c>
      <c r="H107" s="143" t="s">
        <v>46</v>
      </c>
      <c r="I107" s="186" t="s">
        <v>226</v>
      </c>
      <c r="J107" s="185" t="s">
        <v>47</v>
      </c>
      <c r="K107" s="186" t="s">
        <v>227</v>
      </c>
      <c r="L107" s="144" t="s">
        <v>228</v>
      </c>
      <c r="N107" s="17" t="s">
        <v>50</v>
      </c>
      <c r="O107" s="17" t="s">
        <v>51</v>
      </c>
      <c r="P107" s="61"/>
      <c r="Q107" s="61"/>
      <c r="R107" s="61"/>
      <c r="S107" s="61"/>
      <c r="T107" s="61"/>
      <c r="U107" s="61"/>
      <c r="V107" s="17"/>
      <c r="W107" s="17"/>
      <c r="X107" s="61"/>
      <c r="Y107" s="61"/>
    </row>
    <row r="108" spans="1:240" s="74" customFormat="1">
      <c r="B108" s="140" t="str">
        <f t="shared" ref="B108:D111" si="17">+B67</f>
        <v>PA-06</v>
      </c>
      <c r="C108" s="140">
        <f t="shared" si="17"/>
        <v>78812</v>
      </c>
      <c r="D108" s="135">
        <f t="shared" si="17"/>
        <v>8.59</v>
      </c>
      <c r="E108" s="135">
        <f>+F67</f>
        <v>0.32400000000000001</v>
      </c>
      <c r="F108" s="135">
        <f>+H67</f>
        <v>1</v>
      </c>
      <c r="G108" s="135">
        <f>K41+L67</f>
        <v>33.422047027575971</v>
      </c>
      <c r="H108" s="132">
        <v>0.1</v>
      </c>
      <c r="I108" s="156">
        <v>11000</v>
      </c>
      <c r="J108" s="52">
        <v>1.2390000000000001</v>
      </c>
      <c r="K108" s="140">
        <f t="shared" ref="K108:K109" si="18">I108*J108</f>
        <v>13629.000000000002</v>
      </c>
      <c r="L108" s="135">
        <f t="shared" ref="L108:L109" si="19">(($D$100*H108*G108)/(IF(E108&lt;=0.5,$D$102,$D$104)+(0.061*K108)))*100</f>
        <v>0.56257436877713263</v>
      </c>
      <c r="M108" s="81"/>
      <c r="N108" s="81">
        <f>$D$105/I108</f>
        <v>4</v>
      </c>
      <c r="O108" s="81">
        <f>F108/E108</f>
        <v>3.0864197530864197</v>
      </c>
      <c r="P108" s="82"/>
      <c r="Q108" s="82"/>
      <c r="R108" s="83"/>
      <c r="S108" s="82"/>
      <c r="T108" s="83"/>
      <c r="U108" s="83"/>
      <c r="V108" s="83"/>
      <c r="W108" s="83"/>
      <c r="X108" s="84"/>
      <c r="Y108" s="84"/>
    </row>
    <row r="109" spans="1:240" s="74" customFormat="1">
      <c r="B109" s="140" t="str">
        <f t="shared" si="17"/>
        <v>PV-06</v>
      </c>
      <c r="C109" s="140">
        <f t="shared" si="17"/>
        <v>79268</v>
      </c>
      <c r="D109" s="135">
        <f t="shared" si="17"/>
        <v>7.2</v>
      </c>
      <c r="E109" s="135">
        <f>+F68</f>
        <v>0.2732</v>
      </c>
      <c r="F109" s="135">
        <f>+H68</f>
        <v>1</v>
      </c>
      <c r="G109" s="135">
        <f>K42+L68</f>
        <v>34.033556895008786</v>
      </c>
      <c r="H109" s="132">
        <v>0.1</v>
      </c>
      <c r="I109" s="156">
        <v>11000</v>
      </c>
      <c r="J109" s="52">
        <v>1.1675</v>
      </c>
      <c r="K109" s="140">
        <f t="shared" si="18"/>
        <v>12842.5</v>
      </c>
      <c r="L109" s="135">
        <f t="shared" si="19"/>
        <v>0.60546419475344726</v>
      </c>
      <c r="M109" s="81"/>
      <c r="N109" s="81">
        <f t="shared" ref="N109:N111" si="20">$D$105/I109</f>
        <v>4</v>
      </c>
      <c r="O109" s="81">
        <f t="shared" ref="O109:O111" si="21">F109/E109</f>
        <v>3.6603221083455346</v>
      </c>
      <c r="P109" s="82"/>
      <c r="Q109" s="82"/>
      <c r="R109" s="83"/>
      <c r="S109" s="82"/>
      <c r="T109" s="83"/>
      <c r="U109" s="83"/>
      <c r="V109" s="83"/>
      <c r="W109" s="83"/>
      <c r="X109" s="84"/>
      <c r="Y109" s="84"/>
    </row>
    <row r="110" spans="1:240" s="74" customFormat="1">
      <c r="B110" s="140" t="str">
        <f t="shared" si="17"/>
        <v>CR-16</v>
      </c>
      <c r="C110" s="140" t="str">
        <f t="shared" si="17"/>
        <v>CS-07</v>
      </c>
      <c r="D110" s="135">
        <f t="shared" si="17"/>
        <v>1</v>
      </c>
      <c r="E110" s="135">
        <f>+F69</f>
        <v>0.2732</v>
      </c>
      <c r="F110" s="135">
        <f>+H69</f>
        <v>1</v>
      </c>
      <c r="G110" s="135">
        <f>K43+L69</f>
        <v>35.835330443055327</v>
      </c>
      <c r="H110" s="132">
        <v>0.1</v>
      </c>
      <c r="I110" s="156">
        <v>11000</v>
      </c>
      <c r="J110" s="52">
        <v>1.1675</v>
      </c>
      <c r="K110" s="140">
        <f t="shared" ref="K110:K111" si="22">I110*J110</f>
        <v>12842.5</v>
      </c>
      <c r="L110" s="135">
        <f t="shared" ref="L110:L111" si="23">(($D$100*H110*G110)/(IF(E110&lt;=0.5,$D$102,$D$104)+(0.061*K110)))*100</f>
        <v>0.63751812828033205</v>
      </c>
      <c r="M110" s="81"/>
      <c r="N110" s="81">
        <f t="shared" si="20"/>
        <v>4</v>
      </c>
      <c r="O110" s="81">
        <f t="shared" si="21"/>
        <v>3.6603221083455346</v>
      </c>
      <c r="P110" s="82"/>
      <c r="Q110" s="82"/>
      <c r="R110" s="83"/>
      <c r="S110" s="82"/>
      <c r="T110" s="83"/>
      <c r="U110" s="83"/>
      <c r="V110" s="83"/>
      <c r="W110" s="83"/>
      <c r="X110" s="84"/>
      <c r="Y110" s="84"/>
    </row>
    <row r="111" spans="1:240" s="74" customFormat="1">
      <c r="B111" s="140" t="str">
        <f t="shared" si="17"/>
        <v>CS-07</v>
      </c>
      <c r="C111" s="140" t="str">
        <f t="shared" si="17"/>
        <v>PA-06</v>
      </c>
      <c r="D111" s="135">
        <f t="shared" si="17"/>
        <v>7</v>
      </c>
      <c r="E111" s="135">
        <f>+F70</f>
        <v>0.2732</v>
      </c>
      <c r="F111" s="135">
        <f>+H70</f>
        <v>1</v>
      </c>
      <c r="G111" s="135">
        <f>K44+L70</f>
        <v>28.928941067128687</v>
      </c>
      <c r="H111" s="132">
        <v>0.1</v>
      </c>
      <c r="I111" s="156">
        <v>11000</v>
      </c>
      <c r="J111" s="52">
        <v>1.1675</v>
      </c>
      <c r="K111" s="140">
        <f t="shared" si="22"/>
        <v>12842.5</v>
      </c>
      <c r="L111" s="135">
        <f t="shared" si="23"/>
        <v>0.51465199662535832</v>
      </c>
      <c r="M111" s="81"/>
      <c r="N111" s="81">
        <f t="shared" si="20"/>
        <v>4</v>
      </c>
      <c r="O111" s="81">
        <f t="shared" si="21"/>
        <v>3.6603221083455346</v>
      </c>
      <c r="P111" s="82"/>
      <c r="Q111" s="82"/>
      <c r="R111" s="83"/>
      <c r="S111" s="82"/>
      <c r="T111" s="83"/>
      <c r="U111" s="83"/>
      <c r="V111" s="83"/>
      <c r="W111" s="83"/>
      <c r="X111" s="84"/>
      <c r="Y111" s="84"/>
    </row>
    <row r="112" spans="1:240" s="74" customFormat="1" ht="11.25">
      <c r="N112" s="81"/>
      <c r="O112" s="81"/>
      <c r="P112" s="82"/>
      <c r="Q112" s="82"/>
      <c r="R112" s="83"/>
      <c r="S112" s="82"/>
      <c r="T112" s="83"/>
      <c r="U112" s="83"/>
      <c r="V112" s="83"/>
      <c r="W112" s="83"/>
      <c r="X112" s="84"/>
      <c r="Y112" s="84"/>
    </row>
    <row r="113" spans="1:30" ht="27.75" customHeight="1">
      <c r="A113" s="288" t="s">
        <v>106</v>
      </c>
      <c r="B113" s="288"/>
      <c r="C113" s="288"/>
      <c r="D113" s="288"/>
      <c r="E113" s="288"/>
      <c r="F113" s="288"/>
      <c r="G113" s="288"/>
      <c r="H113" s="288"/>
      <c r="I113" s="288"/>
      <c r="J113" s="288"/>
      <c r="K113" s="288"/>
      <c r="L113" s="288"/>
      <c r="M113" s="288"/>
      <c r="N113" s="317" t="s">
        <v>335</v>
      </c>
      <c r="O113" s="317"/>
      <c r="P113" s="317"/>
      <c r="Q113" s="317"/>
      <c r="R113" s="317"/>
      <c r="S113" s="317"/>
      <c r="T113" s="317"/>
      <c r="U113" s="317"/>
      <c r="V113" s="83"/>
      <c r="W113" s="317" t="s">
        <v>336</v>
      </c>
      <c r="X113" s="317"/>
      <c r="Y113" s="317"/>
      <c r="Z113" s="317"/>
      <c r="AA113" s="317"/>
      <c r="AB113" s="317"/>
      <c r="AC113" s="317"/>
      <c r="AD113" s="317"/>
    </row>
    <row r="114" spans="1:30">
      <c r="N114" s="205" t="s">
        <v>50</v>
      </c>
      <c r="O114" s="205" t="s">
        <v>47</v>
      </c>
      <c r="Q114" s="241" t="s">
        <v>50</v>
      </c>
      <c r="R114" s="241" t="s">
        <v>47</v>
      </c>
      <c r="T114" s="241" t="s">
        <v>51</v>
      </c>
      <c r="U114" s="241" t="s">
        <v>47</v>
      </c>
      <c r="V114" s="83"/>
      <c r="W114" s="205" t="s">
        <v>50</v>
      </c>
      <c r="X114" s="205" t="s">
        <v>47</v>
      </c>
      <c r="Z114" s="241" t="s">
        <v>50</v>
      </c>
      <c r="AA114" s="241" t="s">
        <v>47</v>
      </c>
      <c r="AC114" s="241" t="s">
        <v>51</v>
      </c>
      <c r="AD114" s="241" t="s">
        <v>47</v>
      </c>
    </row>
    <row r="115" spans="1:30">
      <c r="A115" s="19" t="s">
        <v>60</v>
      </c>
      <c r="N115" s="235">
        <v>3</v>
      </c>
      <c r="O115" s="235">
        <v>1.2</v>
      </c>
      <c r="Q115" s="235">
        <v>3</v>
      </c>
      <c r="R115" s="235">
        <v>1.1000000000000001</v>
      </c>
      <c r="T115" s="235">
        <v>3</v>
      </c>
      <c r="U115" s="235">
        <f>+O116</f>
        <v>1.25</v>
      </c>
      <c r="V115" s="83"/>
      <c r="W115" s="235">
        <v>3</v>
      </c>
      <c r="X115" s="235">
        <v>1.2</v>
      </c>
      <c r="Z115" s="235">
        <v>3</v>
      </c>
      <c r="AA115" s="235">
        <v>1.1000000000000001</v>
      </c>
      <c r="AC115" s="235">
        <v>3</v>
      </c>
      <c r="AD115" s="235">
        <f>+X116</f>
        <v>1.25</v>
      </c>
    </row>
    <row r="116" spans="1:30">
      <c r="N116" s="236">
        <v>4</v>
      </c>
      <c r="O116" s="237">
        <v>1.25</v>
      </c>
      <c r="Q116" s="236">
        <v>4</v>
      </c>
      <c r="R116" s="237">
        <v>1.125</v>
      </c>
      <c r="T116" s="236">
        <v>3.09</v>
      </c>
      <c r="U116" s="238">
        <v>1.2390000000000001</v>
      </c>
      <c r="V116" s="83"/>
      <c r="W116" s="236">
        <v>4</v>
      </c>
      <c r="X116" s="237">
        <v>1.25</v>
      </c>
      <c r="Z116" s="236">
        <v>4</v>
      </c>
      <c r="AA116" s="237">
        <v>1.125</v>
      </c>
      <c r="AC116" s="236">
        <v>3.66</v>
      </c>
      <c r="AD116" s="238">
        <v>1.1675</v>
      </c>
    </row>
    <row r="117" spans="1:30">
      <c r="A117" s="298" t="s">
        <v>115</v>
      </c>
      <c r="B117" s="298"/>
      <c r="C117" s="298"/>
      <c r="D117" s="298"/>
      <c r="E117" s="298"/>
      <c r="F117" s="298"/>
      <c r="G117" s="298"/>
      <c r="H117" s="298"/>
      <c r="I117" s="298"/>
      <c r="J117" s="298"/>
      <c r="K117" s="298"/>
      <c r="L117" s="298"/>
      <c r="M117" s="298"/>
      <c r="N117" s="235">
        <v>5</v>
      </c>
      <c r="O117" s="235">
        <v>1.3</v>
      </c>
      <c r="Q117" s="235">
        <v>5</v>
      </c>
      <c r="R117" s="235">
        <v>1.1499999999999999</v>
      </c>
      <c r="T117" s="235">
        <v>4</v>
      </c>
      <c r="U117" s="235">
        <f>+R116</f>
        <v>1.125</v>
      </c>
      <c r="W117" s="235">
        <v>5</v>
      </c>
      <c r="X117" s="235">
        <v>1.3</v>
      </c>
      <c r="Z117" s="235">
        <v>5</v>
      </c>
      <c r="AA117" s="235">
        <v>1.1499999999999999</v>
      </c>
      <c r="AC117" s="235">
        <v>4</v>
      </c>
      <c r="AD117" s="235">
        <f>+AA116</f>
        <v>1.125</v>
      </c>
    </row>
    <row r="118" spans="1:30">
      <c r="A118" s="298"/>
      <c r="B118" s="298"/>
      <c r="C118" s="298"/>
      <c r="D118" s="298"/>
      <c r="E118" s="298"/>
      <c r="F118" s="298"/>
      <c r="G118" s="298"/>
      <c r="H118" s="298"/>
      <c r="I118" s="298"/>
      <c r="J118" s="298"/>
      <c r="K118" s="298"/>
      <c r="L118" s="298"/>
      <c r="M118" s="298"/>
      <c r="N118" s="301" t="s">
        <v>327</v>
      </c>
      <c r="O118" s="301"/>
      <c r="Q118" s="293" t="s">
        <v>328</v>
      </c>
      <c r="R118" s="294"/>
      <c r="T118" s="293"/>
      <c r="U118" s="294"/>
      <c r="W118" s="301" t="s">
        <v>327</v>
      </c>
      <c r="X118" s="301"/>
      <c r="Z118" s="293" t="s">
        <v>328</v>
      </c>
      <c r="AA118" s="294"/>
      <c r="AC118" s="293"/>
      <c r="AD118" s="294"/>
    </row>
    <row r="124" spans="1:30">
      <c r="C124" s="17" t="s">
        <v>2</v>
      </c>
    </row>
    <row r="125" spans="1:30">
      <c r="C125" s="62" t="s">
        <v>61</v>
      </c>
      <c r="D125" s="17" t="s">
        <v>216</v>
      </c>
    </row>
    <row r="126" spans="1:30">
      <c r="C126" s="62"/>
      <c r="D126" s="17" t="s">
        <v>214</v>
      </c>
    </row>
    <row r="127" spans="1:30">
      <c r="C127" s="62"/>
      <c r="D127" s="17" t="s">
        <v>215</v>
      </c>
    </row>
    <row r="128" spans="1:30">
      <c r="C128" s="62" t="s">
        <v>62</v>
      </c>
      <c r="D128" s="17" t="s">
        <v>217</v>
      </c>
    </row>
    <row r="129" spans="2:24">
      <c r="C129" s="62"/>
      <c r="D129" s="17" t="s">
        <v>219</v>
      </c>
    </row>
    <row r="130" spans="2:24">
      <c r="C130" s="62"/>
      <c r="D130" s="17" t="s">
        <v>218</v>
      </c>
    </row>
    <row r="131" spans="2:24">
      <c r="C131" s="62" t="s">
        <v>63</v>
      </c>
      <c r="D131" s="17" t="s">
        <v>220</v>
      </c>
    </row>
    <row r="132" spans="2:24">
      <c r="C132" s="62" t="s">
        <v>64</v>
      </c>
      <c r="D132" s="17" t="s">
        <v>65</v>
      </c>
    </row>
    <row r="133" spans="2:24" ht="17.25" customHeight="1">
      <c r="C133" s="62"/>
      <c r="D133" s="17" t="s">
        <v>107</v>
      </c>
    </row>
    <row r="134" spans="2:24">
      <c r="C134" s="62" t="s">
        <v>66</v>
      </c>
      <c r="D134" s="17" t="s">
        <v>221</v>
      </c>
    </row>
    <row r="135" spans="2:24">
      <c r="C135" s="62"/>
      <c r="D135" s="56"/>
    </row>
    <row r="136" spans="2:24" ht="13.5">
      <c r="D136" s="48" t="s">
        <v>108</v>
      </c>
      <c r="E136" s="49"/>
      <c r="F136" s="53">
        <f>D102/8</f>
        <v>7.4709711470795206</v>
      </c>
      <c r="G136" s="123" t="str">
        <f>E102</f>
        <v>Para tuberías PVC Novafort</v>
      </c>
      <c r="H136" s="72"/>
      <c r="I136" s="60"/>
      <c r="J136" s="72"/>
    </row>
    <row r="137" spans="2:24" ht="13.5">
      <c r="D137" s="48" t="s">
        <v>108</v>
      </c>
      <c r="E137" s="49"/>
      <c r="F137" s="53">
        <f>D104/8</f>
        <v>3.6699507389162553</v>
      </c>
      <c r="G137" s="123" t="s">
        <v>44</v>
      </c>
      <c r="H137" s="72"/>
      <c r="I137" s="60"/>
      <c r="J137" s="72"/>
    </row>
    <row r="138" spans="2:24">
      <c r="D138" s="48" t="s">
        <v>67</v>
      </c>
      <c r="E138" s="49"/>
      <c r="F138" s="53">
        <v>5.8</v>
      </c>
      <c r="G138" s="72" t="s">
        <v>68</v>
      </c>
      <c r="H138" s="72"/>
      <c r="I138" s="72"/>
      <c r="J138" s="72"/>
    </row>
    <row r="140" spans="2:24" s="31" customFormat="1" ht="13.5">
      <c r="B140" s="274" t="str">
        <f>B$40</f>
        <v>Pozo de</v>
      </c>
      <c r="C140" s="274" t="str">
        <f>C$40</f>
        <v>Pozo a</v>
      </c>
      <c r="D140" s="274" t="s">
        <v>130</v>
      </c>
      <c r="E140" s="274" t="s">
        <v>208</v>
      </c>
      <c r="F140" s="274" t="s">
        <v>207</v>
      </c>
      <c r="G140" s="186" t="s">
        <v>9</v>
      </c>
      <c r="H140" s="186" t="s">
        <v>45</v>
      </c>
      <c r="I140" s="274" t="s">
        <v>69</v>
      </c>
      <c r="J140" s="274" t="s">
        <v>70</v>
      </c>
      <c r="K140" s="274" t="s">
        <v>71</v>
      </c>
      <c r="L140" s="186" t="s">
        <v>229</v>
      </c>
      <c r="W140" s="17"/>
      <c r="X140" s="17"/>
    </row>
    <row r="141" spans="2:24">
      <c r="B141" s="275"/>
      <c r="C141" s="275"/>
      <c r="D141" s="275"/>
      <c r="E141" s="287"/>
      <c r="F141" s="287"/>
      <c r="G141" s="146" t="s">
        <v>16</v>
      </c>
      <c r="H141" s="147" t="s">
        <v>49</v>
      </c>
      <c r="I141" s="275"/>
      <c r="J141" s="275"/>
      <c r="K141" s="275"/>
      <c r="L141" s="187" t="s">
        <v>72</v>
      </c>
    </row>
    <row r="142" spans="2:24" s="74" customFormat="1">
      <c r="B142" s="140" t="str">
        <f t="shared" ref="B142:E145" si="24">+B108</f>
        <v>PA-06</v>
      </c>
      <c r="C142" s="140">
        <f t="shared" si="24"/>
        <v>78812</v>
      </c>
      <c r="D142" s="135">
        <f t="shared" si="24"/>
        <v>8.59</v>
      </c>
      <c r="E142" s="135">
        <f t="shared" si="24"/>
        <v>0.32400000000000001</v>
      </c>
      <c r="F142" s="135">
        <f>+G67</f>
        <v>1.3</v>
      </c>
      <c r="G142" s="135">
        <f t="shared" ref="G142:H145" si="25">+F108</f>
        <v>1</v>
      </c>
      <c r="H142" s="135">
        <f t="shared" si="25"/>
        <v>33.422047027575971</v>
      </c>
      <c r="I142" s="28">
        <f t="shared" ref="I142:I143" si="26">IF(F142/E142&gt;=2,2.5,3)</f>
        <v>2.5</v>
      </c>
      <c r="J142" s="28">
        <f t="shared" ref="J142:J143" si="27">IF($F$138&lt;=F142,1-0.33*($F$138/F142),1)</f>
        <v>1</v>
      </c>
      <c r="K142" s="135">
        <f t="shared" ref="K142:K143" si="28">1/(1+4*EXP(-0.2133*F142))</f>
        <v>0.24805655301596624</v>
      </c>
      <c r="L142" s="135">
        <f>1/I142*SQRT(32*J142*K142*K108*IF(E142&lt;=0.5,$F$136,$F$137))</f>
        <v>359.60925313450207</v>
      </c>
      <c r="W142" s="76"/>
      <c r="X142" s="76"/>
    </row>
    <row r="143" spans="2:24" s="74" customFormat="1">
      <c r="B143" s="140" t="str">
        <f t="shared" si="24"/>
        <v>PV-06</v>
      </c>
      <c r="C143" s="140">
        <f t="shared" si="24"/>
        <v>79268</v>
      </c>
      <c r="D143" s="135">
        <f t="shared" si="24"/>
        <v>7.2</v>
      </c>
      <c r="E143" s="135">
        <f t="shared" si="24"/>
        <v>0.2732</v>
      </c>
      <c r="F143" s="135">
        <f>+G68</f>
        <v>1.1599999999999999</v>
      </c>
      <c r="G143" s="135">
        <f t="shared" si="25"/>
        <v>1</v>
      </c>
      <c r="H143" s="135">
        <f t="shared" si="25"/>
        <v>34.033556895008786</v>
      </c>
      <c r="I143" s="28">
        <f t="shared" si="26"/>
        <v>2.5</v>
      </c>
      <c r="J143" s="28">
        <f t="shared" si="27"/>
        <v>1</v>
      </c>
      <c r="K143" s="135">
        <f t="shared" si="28"/>
        <v>0.24252855925485389</v>
      </c>
      <c r="L143" s="135">
        <f>1/I143*SQRT(32*J143*K143*K109*IF(E143&lt;=0.5,$F$136,$F$137))</f>
        <v>345.16737575001815</v>
      </c>
      <c r="W143" s="76"/>
      <c r="X143" s="76"/>
    </row>
    <row r="144" spans="2:24" s="74" customFormat="1">
      <c r="B144" s="140" t="str">
        <f t="shared" si="24"/>
        <v>CR-16</v>
      </c>
      <c r="C144" s="140" t="str">
        <f t="shared" si="24"/>
        <v>CS-07</v>
      </c>
      <c r="D144" s="135">
        <f t="shared" si="24"/>
        <v>1</v>
      </c>
      <c r="E144" s="135">
        <f t="shared" si="24"/>
        <v>0.2732</v>
      </c>
      <c r="F144" s="135">
        <f>+G69</f>
        <v>1.02</v>
      </c>
      <c r="G144" s="135">
        <f t="shared" si="25"/>
        <v>1</v>
      </c>
      <c r="H144" s="135">
        <f t="shared" si="25"/>
        <v>35.835330443055327</v>
      </c>
      <c r="I144" s="28">
        <f t="shared" ref="I144:I145" si="29">IF(F144/E144&gt;=2,2.5,3)</f>
        <v>2.5</v>
      </c>
      <c r="J144" s="28">
        <f t="shared" ref="J144:J145" si="30">IF($F$138&lt;=F144,1-0.33*($F$138/F144),1)</f>
        <v>1</v>
      </c>
      <c r="K144" s="135">
        <f t="shared" ref="K144:K145" si="31">1/(1+4*EXP(-0.2133*F144))</f>
        <v>0.23708491588829655</v>
      </c>
      <c r="L144" s="135">
        <f>1/I144*SQRT(32*J144*K144*K110*IF(E144&lt;=0.5,$F$136,$F$137))</f>
        <v>341.27168682963588</v>
      </c>
      <c r="W144" s="76"/>
      <c r="X144" s="76"/>
    </row>
    <row r="145" spans="1:24" s="74" customFormat="1">
      <c r="B145" s="140" t="str">
        <f t="shared" si="24"/>
        <v>CS-07</v>
      </c>
      <c r="C145" s="140" t="str">
        <f t="shared" si="24"/>
        <v>PA-06</v>
      </c>
      <c r="D145" s="135">
        <f t="shared" si="24"/>
        <v>7</v>
      </c>
      <c r="E145" s="135">
        <f t="shared" si="24"/>
        <v>0.2732</v>
      </c>
      <c r="F145" s="135">
        <f>+G70</f>
        <v>2.42</v>
      </c>
      <c r="G145" s="135">
        <f t="shared" si="25"/>
        <v>1</v>
      </c>
      <c r="H145" s="135">
        <f t="shared" si="25"/>
        <v>28.928941067128687</v>
      </c>
      <c r="I145" s="28">
        <f t="shared" si="29"/>
        <v>2.5</v>
      </c>
      <c r="J145" s="28">
        <f t="shared" si="30"/>
        <v>1</v>
      </c>
      <c r="K145" s="135">
        <f t="shared" si="31"/>
        <v>0.29523175480712777</v>
      </c>
      <c r="L145" s="135">
        <f>1/I145*SQRT(32*J145*K145*K111*IF(E145&lt;=0.5,$F$136,$F$137))</f>
        <v>380.82884117039896</v>
      </c>
      <c r="W145" s="76"/>
      <c r="X145" s="76"/>
    </row>
    <row r="146" spans="1:24" s="74" customFormat="1"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</row>
    <row r="147" spans="1:24">
      <c r="A147" s="17" t="s">
        <v>73</v>
      </c>
      <c r="H147" s="63"/>
    </row>
    <row r="148" spans="1:24">
      <c r="H148" s="63"/>
    </row>
    <row r="149" spans="1:24">
      <c r="H149" s="63"/>
    </row>
    <row r="150" spans="1:24">
      <c r="H150" s="63"/>
    </row>
    <row r="151" spans="1:24">
      <c r="H151" s="63"/>
    </row>
    <row r="152" spans="1:24">
      <c r="H152" s="63"/>
    </row>
    <row r="154" spans="1:24" s="31" customFormat="1" ht="27" customHeight="1">
      <c r="C154" s="186" t="str">
        <f>B$40</f>
        <v>Pozo de</v>
      </c>
      <c r="D154" s="186" t="str">
        <f>C$40</f>
        <v>Pozo a</v>
      </c>
      <c r="E154" s="186" t="s">
        <v>222</v>
      </c>
      <c r="F154" s="185" t="s">
        <v>204</v>
      </c>
      <c r="G154" s="186" t="s">
        <v>207</v>
      </c>
      <c r="H154" s="186" t="s">
        <v>206</v>
      </c>
      <c r="I154" s="186" t="s">
        <v>211</v>
      </c>
      <c r="J154" s="186" t="s">
        <v>230</v>
      </c>
      <c r="K154" s="186" t="s">
        <v>231</v>
      </c>
      <c r="W154" s="17"/>
      <c r="X154" s="17"/>
    </row>
    <row r="155" spans="1:24" s="74" customFormat="1">
      <c r="C155" s="135" t="str">
        <f t="shared" ref="C155:G158" si="32">+B142</f>
        <v>PA-06</v>
      </c>
      <c r="D155" s="135">
        <f t="shared" si="32"/>
        <v>78812</v>
      </c>
      <c r="E155" s="135">
        <f t="shared" si="32"/>
        <v>8.59</v>
      </c>
      <c r="F155" s="135">
        <f t="shared" si="32"/>
        <v>0.32400000000000001</v>
      </c>
      <c r="G155" s="135">
        <f t="shared" si="32"/>
        <v>1.3</v>
      </c>
      <c r="H155" s="135">
        <f>+K41</f>
        <v>8.4239999999999995</v>
      </c>
      <c r="I155" s="135">
        <f>+L67</f>
        <v>24.998047027575971</v>
      </c>
      <c r="J155" s="135">
        <f>10*IF(G155&gt;$F$138,G155-$F$138,0)+(J142*H155/F155)+I155/F155</f>
        <v>103.15446613449373</v>
      </c>
      <c r="K155" s="135" t="str">
        <f>IF(J155&lt;L142,"OK","NO CUMPLE")</f>
        <v>OK</v>
      </c>
    </row>
    <row r="156" spans="1:24" s="74" customFormat="1">
      <c r="C156" s="135" t="str">
        <f t="shared" si="32"/>
        <v>PV-06</v>
      </c>
      <c r="D156" s="135">
        <f t="shared" si="32"/>
        <v>79268</v>
      </c>
      <c r="E156" s="135">
        <f t="shared" si="32"/>
        <v>7.2</v>
      </c>
      <c r="F156" s="135">
        <f t="shared" si="32"/>
        <v>0.2732</v>
      </c>
      <c r="G156" s="135">
        <f t="shared" si="32"/>
        <v>1.1599999999999999</v>
      </c>
      <c r="H156" s="135">
        <f>+K42</f>
        <v>6.338239999999999</v>
      </c>
      <c r="I156" s="135">
        <f>+L68</f>
        <v>27.695316895008787</v>
      </c>
      <c r="J156" s="135">
        <f>10*IF(G156&gt;$F$138,G156-$F$138,0)+(J143*H156/F156)+I156/F156</f>
        <v>124.57378072843625</v>
      </c>
      <c r="K156" s="135" t="str">
        <f>IF(J156&lt;L143,"OK","NO CUMPLE")</f>
        <v>OK</v>
      </c>
    </row>
    <row r="157" spans="1:24" s="74" customFormat="1">
      <c r="C157" s="135" t="str">
        <f t="shared" si="32"/>
        <v>CR-16</v>
      </c>
      <c r="D157" s="135" t="str">
        <f t="shared" si="32"/>
        <v>CS-07</v>
      </c>
      <c r="E157" s="135">
        <f t="shared" si="32"/>
        <v>1</v>
      </c>
      <c r="F157" s="135">
        <f t="shared" si="32"/>
        <v>0.2732</v>
      </c>
      <c r="G157" s="135">
        <f t="shared" si="32"/>
        <v>1.02</v>
      </c>
      <c r="H157" s="135">
        <f>+K43</f>
        <v>5.5732799999999996</v>
      </c>
      <c r="I157" s="135">
        <f>+L69</f>
        <v>30.26205044305533</v>
      </c>
      <c r="J157" s="135">
        <f>10*IF(G157&gt;$F$138,G157-$F$138,0)+(J144*H157/F157)+I157/F157</f>
        <v>131.1688522805832</v>
      </c>
      <c r="K157" s="135" t="str">
        <f>IF(J157&lt;L144,"OK","NO CUMPLE")</f>
        <v>OK</v>
      </c>
    </row>
    <row r="158" spans="1:24" s="74" customFormat="1">
      <c r="C158" s="135" t="str">
        <f t="shared" si="32"/>
        <v>CS-07</v>
      </c>
      <c r="D158" s="135" t="str">
        <f t="shared" si="32"/>
        <v>PA-06</v>
      </c>
      <c r="E158" s="135">
        <f t="shared" si="32"/>
        <v>7</v>
      </c>
      <c r="F158" s="135">
        <f t="shared" si="32"/>
        <v>0.2732</v>
      </c>
      <c r="G158" s="135">
        <f t="shared" si="32"/>
        <v>2.42</v>
      </c>
      <c r="H158" s="135">
        <f>+K44</f>
        <v>13.222879999999998</v>
      </c>
      <c r="I158" s="135">
        <f>+L70</f>
        <v>15.706061067128688</v>
      </c>
      <c r="J158" s="135">
        <f>10*IF(G158&gt;$F$138,G158-$F$138,0)+(J145*H158/F158)+I158/F158</f>
        <v>105.88924255903618</v>
      </c>
      <c r="K158" s="135" t="str">
        <f>IF(J158&lt;L145,"OK","NO CUMPLE")</f>
        <v>OK</v>
      </c>
    </row>
    <row r="159" spans="1:24" s="74" customFormat="1" ht="11.25"/>
    <row r="160" spans="1:24">
      <c r="A160" s="64" t="s">
        <v>74</v>
      </c>
      <c r="B160" s="65"/>
      <c r="C160" s="65"/>
      <c r="D160" s="65"/>
      <c r="E160" s="65"/>
      <c r="F160" s="65"/>
      <c r="G160" s="65"/>
    </row>
    <row r="161" spans="1:22">
      <c r="A161" s="65"/>
      <c r="B161" s="65"/>
      <c r="C161" s="65"/>
      <c r="D161" s="65"/>
      <c r="E161" s="65"/>
      <c r="F161" s="65"/>
      <c r="G161" s="65"/>
    </row>
    <row r="162" spans="1:22">
      <c r="A162" s="65" t="s">
        <v>109</v>
      </c>
      <c r="B162" s="65"/>
      <c r="C162" s="65"/>
      <c r="D162" s="65"/>
      <c r="E162" s="65"/>
      <c r="F162" s="65"/>
      <c r="G162" s="65"/>
    </row>
    <row r="163" spans="1:22">
      <c r="A163" s="65"/>
      <c r="B163" s="65"/>
      <c r="C163" s="65"/>
      <c r="D163" s="65"/>
      <c r="E163" s="65"/>
      <c r="F163" s="65"/>
      <c r="G163" s="65"/>
    </row>
    <row r="164" spans="1:22">
      <c r="A164" s="1"/>
      <c r="B164" s="65"/>
      <c r="C164" s="65"/>
      <c r="D164" s="65"/>
      <c r="E164" s="65"/>
      <c r="F164" s="65"/>
      <c r="G164" s="65"/>
    </row>
    <row r="165" spans="1:22">
      <c r="A165" s="65"/>
      <c r="B165" s="65"/>
      <c r="C165" s="65"/>
      <c r="D165" s="65"/>
      <c r="E165" s="65"/>
      <c r="F165" s="65"/>
      <c r="G165" s="65"/>
    </row>
    <row r="166" spans="1:22">
      <c r="A166" s="65"/>
      <c r="B166" s="65"/>
      <c r="C166" s="65"/>
      <c r="D166" s="65"/>
      <c r="E166" s="65"/>
      <c r="F166" s="65"/>
      <c r="G166" s="65"/>
    </row>
    <row r="167" spans="1:22">
      <c r="A167" s="65" t="s">
        <v>2</v>
      </c>
      <c r="B167" s="65"/>
      <c r="C167" s="65"/>
      <c r="D167" s="65"/>
      <c r="E167" s="65"/>
      <c r="F167" s="65"/>
      <c r="G167" s="65"/>
    </row>
    <row r="168" spans="1:22" ht="13.5">
      <c r="A168" s="65"/>
      <c r="B168" s="66" t="s">
        <v>110</v>
      </c>
      <c r="C168" s="67" t="s">
        <v>75</v>
      </c>
      <c r="D168" s="67"/>
      <c r="E168" s="65"/>
      <c r="F168" s="65"/>
      <c r="G168" s="65"/>
    </row>
    <row r="169" spans="1:22">
      <c r="A169" s="65"/>
      <c r="B169" s="66" t="s">
        <v>26</v>
      </c>
      <c r="C169" s="67" t="s">
        <v>76</v>
      </c>
      <c r="D169" s="65"/>
      <c r="E169" s="65"/>
      <c r="F169" s="65"/>
      <c r="G169" s="65"/>
    </row>
    <row r="170" spans="1:22" ht="13.5">
      <c r="A170" s="65"/>
      <c r="B170" s="66" t="s">
        <v>77</v>
      </c>
      <c r="C170" s="65" t="s">
        <v>111</v>
      </c>
      <c r="D170" s="65"/>
      <c r="E170" s="65"/>
      <c r="F170" s="65"/>
      <c r="G170" s="65"/>
    </row>
    <row r="171" spans="1:22">
      <c r="A171" s="65"/>
      <c r="B171" s="65"/>
      <c r="C171" s="65"/>
      <c r="D171" s="65"/>
      <c r="E171" s="65"/>
      <c r="F171" s="65"/>
      <c r="G171" s="65"/>
    </row>
    <row r="172" spans="1:22" ht="14.25">
      <c r="A172" s="65" t="s">
        <v>112</v>
      </c>
      <c r="B172" s="65"/>
      <c r="C172" s="65"/>
      <c r="D172" s="65"/>
      <c r="E172" s="65"/>
      <c r="F172" s="65"/>
      <c r="G172" s="65"/>
    </row>
    <row r="173" spans="1:22">
      <c r="B173" s="65"/>
      <c r="C173" s="65"/>
      <c r="D173" s="65"/>
      <c r="E173" s="65"/>
      <c r="F173" s="65"/>
      <c r="G173" s="65"/>
      <c r="H173" s="65"/>
    </row>
    <row r="174" spans="1:22" ht="25.5">
      <c r="D174" s="149" t="str">
        <f>B40</f>
        <v>Pozo de</v>
      </c>
      <c r="E174" s="149" t="str">
        <f>C40</f>
        <v>Pozo a</v>
      </c>
      <c r="F174" s="186" t="str">
        <f>E40</f>
        <v>Diám Nominal (in)</v>
      </c>
      <c r="G174" s="186" t="s">
        <v>208</v>
      </c>
      <c r="H174" s="149" t="s">
        <v>212</v>
      </c>
      <c r="I174" s="150" t="s">
        <v>232</v>
      </c>
      <c r="J174" s="150" t="s">
        <v>233</v>
      </c>
      <c r="O174" s="181"/>
      <c r="P174" s="181"/>
      <c r="Q174" s="181"/>
      <c r="R174" s="181"/>
      <c r="S174" s="181"/>
      <c r="T174" s="181"/>
      <c r="U174" s="181"/>
      <c r="V174" s="181"/>
    </row>
    <row r="175" spans="1:22" s="74" customFormat="1">
      <c r="D175" s="151" t="str">
        <f t="shared" ref="D175:E178" si="33">+C155</f>
        <v>PA-06</v>
      </c>
      <c r="E175" s="151">
        <f t="shared" si="33"/>
        <v>78812</v>
      </c>
      <c r="F175" s="151">
        <f>+E41</f>
        <v>12</v>
      </c>
      <c r="G175" s="152">
        <f>+F155</f>
        <v>0.32400000000000001</v>
      </c>
      <c r="H175" s="152">
        <f>+I155+H155</f>
        <v>33.422047027575971</v>
      </c>
      <c r="I175" s="152">
        <f t="shared" ref="I175:I176" si="34">2*H175/(PI()*G175)</f>
        <v>65.670172749240791</v>
      </c>
      <c r="J175" s="152" t="str">
        <f t="shared" ref="J175:J176" si="35">IF(I175&lt;67500,"OK","Falta")</f>
        <v>OK</v>
      </c>
    </row>
    <row r="176" spans="1:22" s="74" customFormat="1">
      <c r="D176" s="151" t="str">
        <f t="shared" si="33"/>
        <v>PV-06</v>
      </c>
      <c r="E176" s="151">
        <f t="shared" si="33"/>
        <v>79268</v>
      </c>
      <c r="F176" s="151">
        <f>+E42</f>
        <v>10</v>
      </c>
      <c r="G176" s="152">
        <f>+F156</f>
        <v>0.2732</v>
      </c>
      <c r="H176" s="152">
        <f>+I156+H156</f>
        <v>34.033556895008786</v>
      </c>
      <c r="I176" s="152">
        <f t="shared" si="34"/>
        <v>79.306131930306094</v>
      </c>
      <c r="J176" s="152" t="str">
        <f t="shared" si="35"/>
        <v>OK</v>
      </c>
    </row>
    <row r="177" spans="1:13" s="74" customFormat="1">
      <c r="D177" s="151" t="str">
        <f t="shared" si="33"/>
        <v>CR-16</v>
      </c>
      <c r="E177" s="151" t="str">
        <f t="shared" si="33"/>
        <v>CS-07</v>
      </c>
      <c r="F177" s="151">
        <f>+E43</f>
        <v>10</v>
      </c>
      <c r="G177" s="152">
        <f>+F157</f>
        <v>0.2732</v>
      </c>
      <c r="H177" s="152">
        <f>+I157+H157</f>
        <v>35.835330443055327</v>
      </c>
      <c r="I177" s="152">
        <f t="shared" ref="I177:I178" si="36">2*H177/(PI()*G177)</f>
        <v>83.504684880581777</v>
      </c>
      <c r="J177" s="152" t="str">
        <f t="shared" ref="J177:J178" si="37">IF(I177&lt;67500,"OK","Falta")</f>
        <v>OK</v>
      </c>
    </row>
    <row r="178" spans="1:13" s="74" customFormat="1">
      <c r="D178" s="151" t="str">
        <f t="shared" si="33"/>
        <v>CS-07</v>
      </c>
      <c r="E178" s="151" t="str">
        <f t="shared" si="33"/>
        <v>PA-06</v>
      </c>
      <c r="F178" s="151">
        <f>+E44</f>
        <v>10</v>
      </c>
      <c r="G178" s="152">
        <f>+F158</f>
        <v>0.2732</v>
      </c>
      <c r="H178" s="152">
        <f>+I158+H158</f>
        <v>28.928941067128687</v>
      </c>
      <c r="I178" s="152">
        <f t="shared" si="36"/>
        <v>67.411185494109233</v>
      </c>
      <c r="J178" s="152" t="str">
        <f t="shared" si="37"/>
        <v>OK</v>
      </c>
    </row>
    <row r="179" spans="1:13" s="74" customFormat="1">
      <c r="D179" s="218"/>
      <c r="E179" s="218"/>
      <c r="F179" s="218"/>
      <c r="G179" s="219"/>
      <c r="H179" s="219"/>
      <c r="I179" s="219"/>
      <c r="J179" s="219"/>
    </row>
    <row r="180" spans="1:13" s="74" customFormat="1">
      <c r="A180" s="64" t="s">
        <v>240</v>
      </c>
    </row>
    <row r="181" spans="1:13" s="74" customFormat="1">
      <c r="A181" s="65"/>
    </row>
    <row r="182" spans="1:13" s="74" customFormat="1" ht="35.25" customHeight="1">
      <c r="A182" s="292" t="s">
        <v>379</v>
      </c>
      <c r="B182" s="292"/>
      <c r="C182" s="292"/>
      <c r="D182" s="292"/>
      <c r="E182" s="292"/>
      <c r="F182" s="292"/>
      <c r="G182" s="292"/>
      <c r="H182" s="292"/>
      <c r="I182" s="292"/>
      <c r="J182" s="292"/>
      <c r="K182" s="292"/>
      <c r="L182" s="292"/>
      <c r="M182" s="292"/>
    </row>
    <row r="183" spans="1:13" s="74" customFormat="1">
      <c r="A183" s="65"/>
    </row>
    <row r="184" spans="1:13" s="74" customFormat="1" ht="11.25" customHeight="1">
      <c r="D184" s="286" t="s">
        <v>125</v>
      </c>
      <c r="E184" s="286" t="s">
        <v>126</v>
      </c>
      <c r="F184" s="286" t="s">
        <v>134</v>
      </c>
      <c r="G184" s="279" t="s">
        <v>191</v>
      </c>
      <c r="H184" s="299" t="s">
        <v>135</v>
      </c>
      <c r="I184" s="286" t="s">
        <v>131</v>
      </c>
    </row>
    <row r="185" spans="1:13" s="74" customFormat="1" ht="11.25" customHeight="1">
      <c r="D185" s="287"/>
      <c r="E185" s="287"/>
      <c r="F185" s="287"/>
      <c r="G185" s="279"/>
      <c r="H185" s="300"/>
      <c r="I185" s="287"/>
    </row>
    <row r="186" spans="1:13" s="74" customFormat="1">
      <c r="D186" s="90" t="str">
        <f t="shared" ref="D186:E189" si="38">+B67</f>
        <v>PA-06</v>
      </c>
      <c r="E186" s="90">
        <f t="shared" si="38"/>
        <v>78812</v>
      </c>
      <c r="F186" s="21">
        <f>+G67</f>
        <v>1.3</v>
      </c>
      <c r="G186" s="21">
        <f>+P41</f>
        <v>1.7240000000000002</v>
      </c>
      <c r="H186" s="153" t="str">
        <f t="shared" ref="H186:H187" si="39">+IF(G186&gt;0.5,"NO","SI")</f>
        <v>NO</v>
      </c>
      <c r="I186" s="182" t="s">
        <v>380</v>
      </c>
    </row>
    <row r="187" spans="1:13" s="74" customFormat="1">
      <c r="D187" s="90" t="str">
        <f t="shared" si="38"/>
        <v>PV-06</v>
      </c>
      <c r="E187" s="90">
        <f t="shared" si="38"/>
        <v>79268</v>
      </c>
      <c r="F187" s="21">
        <f>+G68</f>
        <v>1.1599999999999999</v>
      </c>
      <c r="G187" s="21">
        <f>+P42</f>
        <v>1.5331999999999999</v>
      </c>
      <c r="H187" s="153" t="str">
        <f t="shared" si="39"/>
        <v>NO</v>
      </c>
      <c r="I187" s="248" t="s">
        <v>380</v>
      </c>
    </row>
    <row r="188" spans="1:13" s="74" customFormat="1">
      <c r="D188" s="90" t="str">
        <f t="shared" si="38"/>
        <v>CR-16</v>
      </c>
      <c r="E188" s="90" t="str">
        <f t="shared" si="38"/>
        <v>CS-07</v>
      </c>
      <c r="F188" s="21">
        <f>+G69</f>
        <v>1.02</v>
      </c>
      <c r="G188" s="21">
        <f>+P43</f>
        <v>1.3932000000000002</v>
      </c>
      <c r="H188" s="153" t="str">
        <f t="shared" ref="H188:H189" si="40">+IF(G188&gt;0.5,"NO","SI")</f>
        <v>NO</v>
      </c>
      <c r="I188" s="248" t="s">
        <v>380</v>
      </c>
    </row>
    <row r="189" spans="1:13" s="74" customFormat="1">
      <c r="D189" s="90" t="str">
        <f t="shared" si="38"/>
        <v>CS-07</v>
      </c>
      <c r="E189" s="90" t="str">
        <f t="shared" si="38"/>
        <v>PA-06</v>
      </c>
      <c r="F189" s="21">
        <f>+G70</f>
        <v>2.42</v>
      </c>
      <c r="G189" s="21">
        <f>+P44</f>
        <v>2.7932000000000001</v>
      </c>
      <c r="H189" s="153" t="str">
        <f t="shared" si="40"/>
        <v>NO</v>
      </c>
      <c r="I189" s="248" t="s">
        <v>380</v>
      </c>
    </row>
    <row r="191" spans="1:13">
      <c r="A191" s="64" t="s">
        <v>398</v>
      </c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</row>
    <row r="192" spans="1:13">
      <c r="A192" s="65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</row>
    <row r="193" spans="1:1">
      <c r="A193" s="17" t="s">
        <v>392</v>
      </c>
    </row>
    <row r="217" spans="2:13">
      <c r="B217" s="279" t="s">
        <v>128</v>
      </c>
      <c r="C217" s="279" t="s">
        <v>129</v>
      </c>
      <c r="D217" s="317" t="s">
        <v>48</v>
      </c>
      <c r="E217" s="317" t="s">
        <v>16</v>
      </c>
      <c r="F217" s="317" t="s">
        <v>134</v>
      </c>
      <c r="G217" s="279" t="s">
        <v>191</v>
      </c>
      <c r="H217" s="279" t="s">
        <v>393</v>
      </c>
      <c r="I217" s="279" t="s">
        <v>394</v>
      </c>
      <c r="J217" s="279" t="s">
        <v>395</v>
      </c>
      <c r="K217" s="279" t="s">
        <v>396</v>
      </c>
      <c r="L217" s="279" t="s">
        <v>397</v>
      </c>
    </row>
    <row r="218" spans="2:13">
      <c r="B218" s="279"/>
      <c r="C218" s="279"/>
      <c r="D218" s="317"/>
      <c r="E218" s="317"/>
      <c r="F218" s="317"/>
      <c r="G218" s="279"/>
      <c r="H218" s="279"/>
      <c r="I218" s="279"/>
      <c r="J218" s="279"/>
      <c r="K218" s="279"/>
      <c r="L218" s="279"/>
    </row>
    <row r="219" spans="2:13">
      <c r="B219" s="90" t="str">
        <f>+D186</f>
        <v>PA-06</v>
      </c>
      <c r="C219" s="90">
        <f>+E186</f>
        <v>78812</v>
      </c>
      <c r="D219" s="21">
        <f>+G175</f>
        <v>0.32400000000000001</v>
      </c>
      <c r="E219" s="21">
        <f>+G142</f>
        <v>1</v>
      </c>
      <c r="F219" s="21">
        <f>+F186</f>
        <v>1.3</v>
      </c>
      <c r="G219" s="21">
        <f>+G186</f>
        <v>1.7240000000000002</v>
      </c>
      <c r="H219" s="21">
        <v>0.1</v>
      </c>
      <c r="I219" s="21">
        <f>+D219*0.6</f>
        <v>0.19439999999999999</v>
      </c>
      <c r="J219" s="21">
        <f>(0.4*D219)+0.3</f>
        <v>0.42959999999999998</v>
      </c>
      <c r="K219" s="21">
        <f>G219-J219-I219-H219-L219</f>
        <v>0.50000000000000022</v>
      </c>
      <c r="L219" s="21">
        <v>0.5</v>
      </c>
    </row>
    <row r="220" spans="2:13">
      <c r="B220" s="90" t="str">
        <f t="shared" ref="B220:C220" si="41">+D187</f>
        <v>PV-06</v>
      </c>
      <c r="C220" s="90">
        <f t="shared" si="41"/>
        <v>79268</v>
      </c>
      <c r="D220" s="21">
        <f t="shared" ref="D220:D222" si="42">+G176</f>
        <v>0.2732</v>
      </c>
      <c r="E220" s="21">
        <f t="shared" ref="E220:E222" si="43">+G143</f>
        <v>1</v>
      </c>
      <c r="F220" s="21">
        <f t="shared" ref="F220:G220" si="44">+F187</f>
        <v>1.1599999999999999</v>
      </c>
      <c r="G220" s="21">
        <f t="shared" si="44"/>
        <v>1.5331999999999999</v>
      </c>
      <c r="H220" s="21">
        <v>0.1</v>
      </c>
      <c r="I220" s="21">
        <f t="shared" ref="I220:I222" si="45">+D220*0.6</f>
        <v>0.16391999999999998</v>
      </c>
      <c r="J220" s="21">
        <f t="shared" ref="J220:J222" si="46">(0.4*D220)+0.3</f>
        <v>0.40927999999999998</v>
      </c>
      <c r="K220" s="21">
        <f t="shared" ref="K220:K222" si="47">G220-J220-I220-H220-L220</f>
        <v>0.3600000000000001</v>
      </c>
      <c r="L220" s="21">
        <v>0.5</v>
      </c>
    </row>
    <row r="221" spans="2:13">
      <c r="B221" s="90" t="str">
        <f t="shared" ref="B221:C221" si="48">+D188</f>
        <v>CR-16</v>
      </c>
      <c r="C221" s="90" t="str">
        <f t="shared" si="48"/>
        <v>CS-07</v>
      </c>
      <c r="D221" s="21">
        <f t="shared" si="42"/>
        <v>0.2732</v>
      </c>
      <c r="E221" s="21">
        <f t="shared" si="43"/>
        <v>1</v>
      </c>
      <c r="F221" s="21">
        <f t="shared" ref="F221:G221" si="49">+F188</f>
        <v>1.02</v>
      </c>
      <c r="G221" s="21">
        <f t="shared" si="49"/>
        <v>1.3932000000000002</v>
      </c>
      <c r="H221" s="21">
        <v>0.1</v>
      </c>
      <c r="I221" s="21">
        <f t="shared" si="45"/>
        <v>0.16391999999999998</v>
      </c>
      <c r="J221" s="21">
        <f t="shared" si="46"/>
        <v>0.40927999999999998</v>
      </c>
      <c r="K221" s="21">
        <f t="shared" si="47"/>
        <v>0.22000000000000031</v>
      </c>
      <c r="L221" s="21">
        <v>0.5</v>
      </c>
    </row>
    <row r="222" spans="2:13">
      <c r="B222" s="90" t="str">
        <f t="shared" ref="B222:C222" si="50">+D189</f>
        <v>CS-07</v>
      </c>
      <c r="C222" s="90" t="str">
        <f t="shared" si="50"/>
        <v>PA-06</v>
      </c>
      <c r="D222" s="21">
        <f t="shared" si="42"/>
        <v>0.2732</v>
      </c>
      <c r="E222" s="21">
        <f t="shared" si="43"/>
        <v>1</v>
      </c>
      <c r="F222" s="21">
        <f t="shared" ref="F222:G222" si="51">+F189</f>
        <v>2.42</v>
      </c>
      <c r="G222" s="21">
        <f t="shared" si="51"/>
        <v>2.7932000000000001</v>
      </c>
      <c r="H222" s="21">
        <v>0.1</v>
      </c>
      <c r="I222" s="21">
        <f t="shared" si="45"/>
        <v>0.16391999999999998</v>
      </c>
      <c r="J222" s="21">
        <f t="shared" si="46"/>
        <v>0.40927999999999998</v>
      </c>
      <c r="K222" s="21">
        <f t="shared" si="47"/>
        <v>1.62</v>
      </c>
      <c r="L222" s="21">
        <v>0.5</v>
      </c>
    </row>
    <row r="224" spans="2:13">
      <c r="J224" s="181"/>
      <c r="K224" s="181"/>
      <c r="L224" s="181"/>
      <c r="M224" s="181"/>
    </row>
    <row r="227" spans="11:11">
      <c r="K227" s="17" t="s">
        <v>136</v>
      </c>
    </row>
  </sheetData>
  <autoFilter ref="A40:M42" xr:uid="{00000000-0001-0000-0400-000000000000}"/>
  <mergeCells count="42">
    <mergeCell ref="B140:B141"/>
    <mergeCell ref="C140:C141"/>
    <mergeCell ref="D140:D141"/>
    <mergeCell ref="E140:E141"/>
    <mergeCell ref="F140:F141"/>
    <mergeCell ref="A2:M2"/>
    <mergeCell ref="A3:M3"/>
    <mergeCell ref="C62:C64"/>
    <mergeCell ref="A113:M113"/>
    <mergeCell ref="A117:M118"/>
    <mergeCell ref="T118:U118"/>
    <mergeCell ref="N113:U113"/>
    <mergeCell ref="I140:I141"/>
    <mergeCell ref="J140:J141"/>
    <mergeCell ref="K140:K141"/>
    <mergeCell ref="S87:S88"/>
    <mergeCell ref="T87:AA87"/>
    <mergeCell ref="A74:M75"/>
    <mergeCell ref="A182:M182"/>
    <mergeCell ref="D184:D185"/>
    <mergeCell ref="E184:E185"/>
    <mergeCell ref="F184:F185"/>
    <mergeCell ref="G184:G185"/>
    <mergeCell ref="H184:H185"/>
    <mergeCell ref="I184:I185"/>
    <mergeCell ref="W113:AD113"/>
    <mergeCell ref="W118:X118"/>
    <mergeCell ref="Z118:AA118"/>
    <mergeCell ref="AC118:AD118"/>
    <mergeCell ref="N118:O118"/>
    <mergeCell ref="Q118:R118"/>
    <mergeCell ref="B217:B218"/>
    <mergeCell ref="C217:C218"/>
    <mergeCell ref="D217:D218"/>
    <mergeCell ref="E217:E218"/>
    <mergeCell ref="F217:F218"/>
    <mergeCell ref="L217:L218"/>
    <mergeCell ref="G217:G218"/>
    <mergeCell ref="H217:H218"/>
    <mergeCell ref="I217:I218"/>
    <mergeCell ref="J217:J218"/>
    <mergeCell ref="K217:K218"/>
  </mergeCells>
  <conditionalFormatting sqref="L108:L111">
    <cfRule type="cellIs" dxfId="8" priority="1" stopIfTrue="1" operator="greaterThanOrEqual">
      <formula>5</formula>
    </cfRule>
  </conditionalFormatting>
  <printOptions horizontalCentered="1"/>
  <pageMargins left="0.78740157480314965" right="0.78740157480314965" top="1.1811023622047245" bottom="1.1811023622047245" header="0.78740157480314965" footer="0.78740157480314965"/>
  <pageSetup scale="61" fitToHeight="0" orientation="portrait" r:id="rId1"/>
  <rowBreaks count="2" manualBreakCount="2">
    <brk id="71" max="12" man="1"/>
    <brk id="145" max="12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D04DF-0840-4183-8F10-5AE48D2B06B8}">
  <sheetPr>
    <tabColor theme="6" tint="0.39997558519241921"/>
    <pageSetUpPr fitToPage="1"/>
  </sheetPr>
  <dimension ref="A2:IF206"/>
  <sheetViews>
    <sheetView view="pageBreakPreview" topLeftCell="A166" zoomScale="90" zoomScaleNormal="90" zoomScaleSheetLayoutView="90" workbookViewId="0">
      <selection activeCell="A2" sqref="A2:XFD3"/>
    </sheetView>
  </sheetViews>
  <sheetFormatPr baseColWidth="10" defaultColWidth="11.42578125" defaultRowHeight="12"/>
  <cols>
    <col min="1" max="2" width="9.140625" style="17" customWidth="1"/>
    <col min="3" max="3" width="9.5703125" style="17" customWidth="1"/>
    <col min="4" max="4" width="9.28515625" style="17" customWidth="1"/>
    <col min="5" max="5" width="12.140625" style="17" customWidth="1"/>
    <col min="6" max="6" width="11.85546875" style="17" customWidth="1"/>
    <col min="7" max="7" width="15" style="17" customWidth="1"/>
    <col min="8" max="8" width="12.7109375" style="17" customWidth="1"/>
    <col min="9" max="9" width="10.85546875" style="17" customWidth="1"/>
    <col min="10" max="10" width="11" style="17" customWidth="1"/>
    <col min="11" max="11" width="10.28515625" style="17" customWidth="1"/>
    <col min="12" max="12" width="12.5703125" style="17" customWidth="1"/>
    <col min="13" max="13" width="12.85546875" style="17" customWidth="1"/>
    <col min="14" max="14" width="11.42578125" style="17"/>
    <col min="15" max="16" width="11.85546875" style="17" bestFit="1" customWidth="1"/>
    <col min="17" max="17" width="11.85546875" style="17" customWidth="1"/>
    <col min="18" max="18" width="11.85546875" style="17" bestFit="1" customWidth="1"/>
    <col min="19" max="19" width="16.28515625" style="17" bestFit="1" customWidth="1"/>
    <col min="20" max="20" width="11.85546875" style="17" bestFit="1" customWidth="1"/>
    <col min="21" max="21" width="15.140625" style="17" customWidth="1"/>
    <col min="22" max="22" width="11.5703125" style="17" bestFit="1" customWidth="1"/>
    <col min="23" max="23" width="15" style="17" customWidth="1"/>
    <col min="24" max="24" width="11.5703125" style="17" bestFit="1" customWidth="1"/>
    <col min="25" max="16384" width="11.42578125" style="17"/>
  </cols>
  <sheetData>
    <row r="2" spans="1:13" ht="12.75" customHeight="1">
      <c r="A2" s="302" t="s">
        <v>236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3" spans="1:13" s="56" customFormat="1" ht="12.75" customHeight="1">
      <c r="A3" s="303" t="s">
        <v>337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</row>
    <row r="5" spans="1:13">
      <c r="A5" s="19" t="s">
        <v>78</v>
      </c>
    </row>
    <row r="7" spans="1:13">
      <c r="A7" s="19" t="s">
        <v>0</v>
      </c>
    </row>
    <row r="8" spans="1:13">
      <c r="A8" s="19"/>
    </row>
    <row r="9" spans="1:13">
      <c r="A9" s="19" t="s">
        <v>1</v>
      </c>
    </row>
    <row r="10" spans="1:13" ht="12.75" customHeight="1"/>
    <row r="11" spans="1:13" ht="12.75" customHeight="1"/>
    <row r="12" spans="1:13" ht="12.75" customHeight="1"/>
    <row r="13" spans="1:13">
      <c r="E13" s="20"/>
      <c r="F13" s="20"/>
      <c r="G13" s="18"/>
    </row>
    <row r="14" spans="1:13">
      <c r="D14" s="17" t="s">
        <v>2</v>
      </c>
    </row>
    <row r="15" spans="1:13">
      <c r="E15" s="20"/>
      <c r="F15" s="20"/>
      <c r="G15" s="18"/>
    </row>
    <row r="16" spans="1:13">
      <c r="E16" s="20"/>
      <c r="F16" s="20"/>
      <c r="G16" s="18"/>
    </row>
    <row r="17" spans="1:15">
      <c r="E17" s="20"/>
      <c r="F17" s="20"/>
      <c r="G17" s="18"/>
    </row>
    <row r="18" spans="1:15">
      <c r="E18" s="20"/>
      <c r="F18" s="20"/>
      <c r="G18" s="18"/>
    </row>
    <row r="19" spans="1:15">
      <c r="E19" s="20"/>
      <c r="F19" s="20"/>
      <c r="G19" s="18"/>
    </row>
    <row r="20" spans="1:15">
      <c r="E20" s="20"/>
      <c r="F20" s="20"/>
      <c r="G20" s="18"/>
    </row>
    <row r="21" spans="1:15">
      <c r="E21" s="20"/>
      <c r="F21" s="20"/>
      <c r="G21" s="18"/>
    </row>
    <row r="22" spans="1:15">
      <c r="E22" s="20"/>
      <c r="F22" s="20"/>
      <c r="G22" s="18"/>
    </row>
    <row r="23" spans="1:15" ht="7.5" customHeight="1">
      <c r="E23" s="20"/>
      <c r="F23" s="20"/>
      <c r="G23" s="18"/>
    </row>
    <row r="25" spans="1:15">
      <c r="A25" s="19" t="s">
        <v>3</v>
      </c>
      <c r="G25" s="18"/>
    </row>
    <row r="26" spans="1:15">
      <c r="G26" s="18"/>
    </row>
    <row r="27" spans="1:15">
      <c r="G27" s="18"/>
    </row>
    <row r="28" spans="1:15">
      <c r="G28" s="18"/>
    </row>
    <row r="29" spans="1:15">
      <c r="E29" s="20"/>
      <c r="F29" s="20"/>
      <c r="G29" s="18"/>
    </row>
    <row r="30" spans="1:15">
      <c r="D30" s="17" t="s">
        <v>2</v>
      </c>
      <c r="G30" s="18"/>
      <c r="N30" s="29"/>
      <c r="O30" s="29"/>
    </row>
    <row r="31" spans="1:15">
      <c r="G31" s="18"/>
      <c r="N31" s="29"/>
      <c r="O31" s="29"/>
    </row>
    <row r="32" spans="1:15">
      <c r="E32" s="20"/>
      <c r="F32" s="20"/>
      <c r="G32" s="18"/>
      <c r="N32" s="29"/>
      <c r="O32" s="29"/>
    </row>
    <row r="33" spans="1:26" ht="18.75" customHeight="1">
      <c r="E33" s="22"/>
      <c r="F33" s="22"/>
      <c r="G33" s="18"/>
      <c r="N33" s="29"/>
      <c r="O33" s="29"/>
    </row>
    <row r="34" spans="1:26">
      <c r="A34" s="17" t="s">
        <v>4</v>
      </c>
      <c r="N34" s="29"/>
      <c r="O34" s="29"/>
    </row>
    <row r="35" spans="1:26" ht="16.5" customHeight="1">
      <c r="N35" s="29"/>
      <c r="O35" s="29"/>
    </row>
    <row r="36" spans="1:26">
      <c r="C36" s="23" t="s">
        <v>96</v>
      </c>
      <c r="D36" s="41">
        <v>30</v>
      </c>
      <c r="E36" s="130"/>
      <c r="F36" s="131" t="s">
        <v>97</v>
      </c>
      <c r="G36" s="132">
        <f>D36*PI()/180</f>
        <v>0.52359877559829882</v>
      </c>
      <c r="K36" s="26"/>
    </row>
    <row r="37" spans="1:26" ht="13.5">
      <c r="C37" s="27" t="s">
        <v>5</v>
      </c>
      <c r="D37" s="132">
        <f>(TAN(PI()/4-G36/2))^2</f>
        <v>0.33333333333333343</v>
      </c>
      <c r="E37" s="130"/>
      <c r="F37" s="131" t="s">
        <v>98</v>
      </c>
      <c r="G37" s="54">
        <v>20</v>
      </c>
      <c r="K37" s="26"/>
    </row>
    <row r="38" spans="1:26">
      <c r="C38" s="23" t="s">
        <v>99</v>
      </c>
      <c r="D38" s="25">
        <f>TAN(G36)</f>
        <v>0.57735026918962573</v>
      </c>
      <c r="E38" s="24"/>
      <c r="K38" s="26"/>
    </row>
    <row r="40" spans="1:26" s="31" customFormat="1" ht="36.75" customHeight="1">
      <c r="A40" s="168"/>
      <c r="B40" s="138" t="s">
        <v>128</v>
      </c>
      <c r="C40" s="202" t="s">
        <v>129</v>
      </c>
      <c r="D40" s="202" t="s">
        <v>130</v>
      </c>
      <c r="E40" s="202" t="s">
        <v>209</v>
      </c>
      <c r="F40" s="202" t="s">
        <v>208</v>
      </c>
      <c r="G40" s="202" t="s">
        <v>223</v>
      </c>
      <c r="H40" s="202" t="s">
        <v>207</v>
      </c>
      <c r="I40" s="202" t="s">
        <v>205</v>
      </c>
      <c r="J40" s="204" t="s">
        <v>10</v>
      </c>
      <c r="K40" s="202" t="s">
        <v>206</v>
      </c>
      <c r="L40" s="202" t="s">
        <v>202</v>
      </c>
      <c r="O40" s="138" t="s">
        <v>203</v>
      </c>
      <c r="P40" s="198" t="s">
        <v>11</v>
      </c>
      <c r="Q40" s="137" t="s">
        <v>12</v>
      </c>
      <c r="R40" s="201"/>
      <c r="S40" s="197"/>
      <c r="V40" s="17"/>
    </row>
    <row r="41" spans="1:26" ht="13.5" customHeight="1">
      <c r="A41" s="169"/>
      <c r="B41" s="55" t="s">
        <v>298</v>
      </c>
      <c r="C41" s="178">
        <v>131765</v>
      </c>
      <c r="D41" s="53">
        <v>7.5</v>
      </c>
      <c r="E41" s="55">
        <v>10</v>
      </c>
      <c r="F41" s="134">
        <f>+INDEX(Especificaciones!$C$5:$C$25,MATCH('Flexible - D P3'!O41,Especificaciones!$B$5:$B$25,-1))</f>
        <v>0.2732</v>
      </c>
      <c r="G41" s="231">
        <v>2633.89</v>
      </c>
      <c r="H41" s="231">
        <v>1</v>
      </c>
      <c r="I41" s="53">
        <v>1</v>
      </c>
      <c r="J41" s="32">
        <f t="shared" ref="J41" si="0">IF(I41&gt;=2*F41,H41/F41,(1-EXP(-2*$D$37*$D$38*H41/I41))/(2*$D$37*$D$38))</f>
        <v>3.6603221083455346</v>
      </c>
      <c r="K41" s="135">
        <f t="shared" ref="K41" si="1">IF(I41&gt;=2*F41,J41*$G$37*F41^2,J41*$G$37*I41*F41)</f>
        <v>5.4639999999999995</v>
      </c>
      <c r="L41" s="135" t="s">
        <v>17</v>
      </c>
      <c r="N41" s="38"/>
      <c r="O41" s="55">
        <v>250</v>
      </c>
      <c r="P41" s="21">
        <f t="shared" ref="P41" si="2">+F41+H41+0.1</f>
        <v>1.3732000000000002</v>
      </c>
      <c r="Q41" s="21">
        <f t="shared" ref="Q41" si="3">P41*1.5</f>
        <v>2.0598000000000001</v>
      </c>
      <c r="R41" s="13"/>
      <c r="S41" s="14"/>
      <c r="T41" s="29"/>
      <c r="U41" s="14"/>
      <c r="V41" s="29"/>
    </row>
    <row r="42" spans="1:26">
      <c r="A42" s="199"/>
      <c r="B42" s="199"/>
      <c r="C42" s="35"/>
      <c r="D42" s="71"/>
      <c r="E42" s="36"/>
      <c r="F42" s="35"/>
      <c r="H42" s="35"/>
      <c r="I42" s="35"/>
      <c r="J42" s="60"/>
      <c r="K42" s="36"/>
      <c r="L42" s="36"/>
      <c r="M42" s="37"/>
      <c r="N42" s="38"/>
      <c r="O42" s="55"/>
      <c r="P42" s="21"/>
      <c r="Q42" s="21"/>
    </row>
    <row r="43" spans="1:26">
      <c r="A43" s="19" t="s">
        <v>18</v>
      </c>
      <c r="B43" s="39"/>
      <c r="C43" s="19"/>
      <c r="D43" s="19"/>
      <c r="E43" s="19"/>
      <c r="F43" s="19"/>
      <c r="G43" s="19"/>
      <c r="H43" s="19"/>
      <c r="I43" s="19"/>
      <c r="J43" s="19"/>
      <c r="K43" s="19"/>
      <c r="L43" s="19"/>
    </row>
    <row r="44" spans="1:26">
      <c r="A44" s="19"/>
      <c r="B44" s="19"/>
      <c r="C44" s="19"/>
      <c r="D44" s="19"/>
      <c r="E44" s="40"/>
      <c r="F44" s="20"/>
      <c r="G44" s="40"/>
      <c r="H44" s="19"/>
      <c r="I44" s="19"/>
      <c r="J44" s="19"/>
      <c r="K44" s="19"/>
      <c r="L44" s="19"/>
    </row>
    <row r="45" spans="1:26">
      <c r="A45" s="19"/>
      <c r="B45" s="19"/>
      <c r="C45" s="19"/>
      <c r="H45" s="19"/>
      <c r="I45" s="19"/>
      <c r="J45" s="19"/>
      <c r="K45" s="19"/>
      <c r="L45" s="19"/>
      <c r="O45" s="29"/>
    </row>
    <row r="46" spans="1:26">
      <c r="A46" s="19"/>
      <c r="B46" s="19"/>
      <c r="C46" s="19"/>
      <c r="H46" s="19"/>
      <c r="I46" s="19"/>
      <c r="J46" s="19"/>
      <c r="K46" s="19"/>
      <c r="L46" s="19"/>
    </row>
    <row r="47" spans="1:26">
      <c r="B47" s="19"/>
      <c r="C47" s="19"/>
      <c r="H47" s="19"/>
      <c r="I47" s="19"/>
      <c r="J47" s="19"/>
      <c r="K47" s="19"/>
      <c r="L47" s="19"/>
    </row>
    <row r="48" spans="1:26" s="31" customFormat="1" ht="11.25" customHeight="1">
      <c r="A48" s="19"/>
      <c r="B48" s="19"/>
      <c r="C48" s="19"/>
      <c r="D48" s="17" t="s">
        <v>2</v>
      </c>
      <c r="E48" s="19"/>
      <c r="F48" s="19"/>
      <c r="G48" s="19"/>
      <c r="H48" s="19"/>
      <c r="I48" s="19"/>
      <c r="J48" s="19"/>
      <c r="K48" s="19"/>
      <c r="L48" s="19"/>
      <c r="M48" s="17"/>
      <c r="N48" s="17"/>
      <c r="P48" s="17"/>
      <c r="Q48" s="17"/>
      <c r="R48" s="17"/>
      <c r="S48" s="17"/>
      <c r="T48" s="17"/>
      <c r="U48" s="17"/>
      <c r="W48" s="17"/>
      <c r="X48" s="17"/>
      <c r="Y48" s="17"/>
      <c r="Z48" s="17"/>
    </row>
    <row r="49" spans="1:26" s="31" customFormat="1" ht="16.5" customHeight="1">
      <c r="A49" s="19"/>
      <c r="B49" s="19"/>
      <c r="C49" s="19"/>
      <c r="D49" s="17"/>
      <c r="E49" s="40"/>
      <c r="F49" s="40"/>
      <c r="G49" s="40"/>
      <c r="H49" s="19"/>
      <c r="I49" s="19"/>
      <c r="J49" s="19"/>
      <c r="K49" s="19"/>
      <c r="L49" s="19"/>
      <c r="M49" s="17"/>
      <c r="N49" s="17"/>
      <c r="P49" s="17"/>
      <c r="Q49" s="17"/>
      <c r="R49" s="17"/>
      <c r="S49" s="17"/>
      <c r="T49" s="17"/>
      <c r="U49" s="17"/>
      <c r="W49" s="17"/>
      <c r="X49" s="17"/>
      <c r="Y49" s="17"/>
      <c r="Z49" s="17"/>
    </row>
    <row r="50" spans="1:26" s="31" customFormat="1" ht="18.75" customHeight="1">
      <c r="A50" s="19"/>
      <c r="B50" s="19"/>
      <c r="C50" s="19"/>
      <c r="D50" s="17"/>
      <c r="E50" s="40"/>
      <c r="F50" s="40"/>
      <c r="G50" s="40"/>
      <c r="H50" s="19"/>
      <c r="I50" s="19"/>
      <c r="J50" s="19"/>
      <c r="K50" s="19"/>
      <c r="L50" s="19"/>
      <c r="M50" s="17"/>
      <c r="N50" s="17"/>
      <c r="P50" s="17"/>
      <c r="Q50" s="17"/>
      <c r="R50" s="17"/>
      <c r="S50" s="17"/>
      <c r="T50" s="17"/>
      <c r="U50" s="17"/>
      <c r="W50" s="17"/>
      <c r="X50" s="17"/>
      <c r="Y50" s="17"/>
      <c r="Z50" s="17"/>
    </row>
    <row r="51" spans="1:26" s="31" customFormat="1" ht="18.75" customHeight="1">
      <c r="A51" s="19"/>
      <c r="B51" s="19"/>
      <c r="C51" s="19"/>
      <c r="D51" s="17"/>
      <c r="E51" s="40"/>
      <c r="F51" s="40"/>
      <c r="G51" s="40"/>
      <c r="H51" s="19"/>
      <c r="I51" s="19"/>
      <c r="J51" s="19"/>
      <c r="K51" s="19"/>
      <c r="L51" s="19"/>
      <c r="M51" s="17"/>
      <c r="N51" s="17"/>
      <c r="P51" s="17"/>
      <c r="Q51" s="17"/>
      <c r="R51" s="17"/>
      <c r="S51" s="17"/>
      <c r="T51" s="17"/>
      <c r="U51" s="17"/>
      <c r="W51" s="17"/>
      <c r="X51" s="17"/>
      <c r="Y51" s="17"/>
      <c r="Z51" s="17"/>
    </row>
    <row r="52" spans="1:26" s="31" customFormat="1" ht="12.75" customHeight="1">
      <c r="A52" s="19"/>
      <c r="B52" s="19"/>
      <c r="C52" s="19"/>
      <c r="D52" s="19"/>
      <c r="E52" s="40"/>
      <c r="F52" s="40"/>
      <c r="G52" s="40"/>
      <c r="H52" s="19"/>
      <c r="I52" s="19"/>
      <c r="J52" s="19"/>
      <c r="K52" s="19"/>
      <c r="L52" s="19"/>
      <c r="M52" s="17"/>
      <c r="N52" s="17"/>
      <c r="P52" s="17"/>
      <c r="Q52" s="17"/>
      <c r="R52" s="17"/>
      <c r="S52" s="17"/>
      <c r="T52" s="17"/>
      <c r="U52" s="17"/>
      <c r="W52" s="17"/>
      <c r="X52" s="17"/>
      <c r="Y52" s="17"/>
      <c r="Z52" s="17"/>
    </row>
    <row r="53" spans="1:26" s="31" customFormat="1" ht="15" customHeight="1">
      <c r="A53" s="19"/>
      <c r="B53" s="19"/>
      <c r="C53" s="19"/>
      <c r="D53" s="19"/>
      <c r="E53" s="40"/>
      <c r="F53" s="40"/>
      <c r="G53" s="40"/>
      <c r="H53" s="19"/>
      <c r="I53" s="19"/>
      <c r="J53" s="19"/>
      <c r="K53" s="19"/>
      <c r="L53" s="19"/>
      <c r="M53" s="17"/>
      <c r="N53" s="17"/>
      <c r="P53" s="17"/>
      <c r="Q53" s="17"/>
      <c r="R53" s="17"/>
      <c r="S53" s="17"/>
      <c r="T53" s="17"/>
      <c r="U53" s="17"/>
      <c r="W53" s="17"/>
      <c r="X53" s="17"/>
      <c r="Y53" s="17"/>
      <c r="Z53" s="17"/>
    </row>
    <row r="54" spans="1:26" ht="7.5" customHeight="1">
      <c r="A54" s="19"/>
      <c r="B54" s="19"/>
      <c r="C54" s="19"/>
      <c r="D54" s="19"/>
      <c r="E54" s="40"/>
      <c r="F54" s="40"/>
      <c r="G54" s="40"/>
      <c r="H54" s="19"/>
      <c r="I54" s="19"/>
      <c r="J54" s="19"/>
      <c r="K54" s="19"/>
      <c r="L54" s="19"/>
      <c r="M54" s="19"/>
    </row>
    <row r="55" spans="1:26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</row>
    <row r="56" spans="1:26">
      <c r="A56" s="17" t="s">
        <v>19</v>
      </c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</row>
    <row r="57" spans="1:26"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</row>
    <row r="58" spans="1:26">
      <c r="C58" s="139" t="s">
        <v>20</v>
      </c>
      <c r="D58" s="41">
        <v>80</v>
      </c>
      <c r="F58" s="19"/>
      <c r="G58" s="19"/>
      <c r="H58" s="19"/>
      <c r="I58" s="19"/>
      <c r="J58" s="19"/>
      <c r="K58" s="19"/>
      <c r="L58" s="19"/>
      <c r="M58" s="19"/>
    </row>
    <row r="59" spans="1:26">
      <c r="C59" s="295" t="s">
        <v>21</v>
      </c>
      <c r="D59" s="4">
        <v>1.2</v>
      </c>
      <c r="E59" s="1" t="s">
        <v>174</v>
      </c>
      <c r="F59" s="19"/>
      <c r="G59" s="19"/>
      <c r="H59" s="19"/>
      <c r="I59" s="19"/>
      <c r="J59" s="19"/>
      <c r="K59" s="19"/>
      <c r="L59" s="19"/>
      <c r="M59" s="19"/>
    </row>
    <row r="60" spans="1:26">
      <c r="C60" s="296"/>
      <c r="D60" s="4">
        <v>1.1000000000000001</v>
      </c>
      <c r="E60" s="1" t="s">
        <v>22</v>
      </c>
      <c r="F60" s="19"/>
      <c r="G60" s="19"/>
      <c r="H60" s="19"/>
      <c r="I60" s="19"/>
      <c r="J60" s="19"/>
      <c r="K60" s="19"/>
      <c r="L60" s="19"/>
      <c r="M60" s="19"/>
    </row>
    <row r="61" spans="1:26">
      <c r="C61" s="297"/>
      <c r="D61" s="42">
        <v>1</v>
      </c>
      <c r="E61" s="1" t="s">
        <v>175</v>
      </c>
      <c r="M61" s="19"/>
    </row>
    <row r="62" spans="1:26">
      <c r="M62" s="19"/>
    </row>
    <row r="63" spans="1:26" s="31" customFormat="1" ht="30" customHeight="1">
      <c r="A63" s="168"/>
      <c r="B63" s="138" t="str">
        <f>B$40</f>
        <v>Pozo de</v>
      </c>
      <c r="C63" s="202" t="str">
        <f>C$40</f>
        <v>Pozo a</v>
      </c>
      <c r="D63" s="202" t="s">
        <v>130</v>
      </c>
      <c r="E63" s="202" t="s">
        <v>209</v>
      </c>
      <c r="F63" s="202" t="s">
        <v>204</v>
      </c>
      <c r="G63" s="204" t="s">
        <v>134</v>
      </c>
      <c r="H63" s="202" t="s">
        <v>205</v>
      </c>
      <c r="I63" s="202" t="s">
        <v>224</v>
      </c>
      <c r="J63" s="202" t="s">
        <v>225</v>
      </c>
      <c r="K63" s="202" t="s">
        <v>210</v>
      </c>
      <c r="L63" s="202" t="s">
        <v>211</v>
      </c>
      <c r="N63" s="200" t="s">
        <v>23</v>
      </c>
      <c r="W63" s="17"/>
      <c r="X63" s="17"/>
    </row>
    <row r="64" spans="1:26" s="74" customFormat="1" ht="12" customHeight="1">
      <c r="A64" s="169"/>
      <c r="B64" s="140" t="str">
        <f>+B41</f>
        <v>CR-01</v>
      </c>
      <c r="C64" s="140">
        <f>+C41</f>
        <v>131765</v>
      </c>
      <c r="D64" s="135">
        <f>+D41</f>
        <v>7.5</v>
      </c>
      <c r="E64" s="95">
        <f>+E41</f>
        <v>10</v>
      </c>
      <c r="F64" s="135">
        <f>+F41</f>
        <v>0.2732</v>
      </c>
      <c r="G64" s="135">
        <f>+H41</f>
        <v>1</v>
      </c>
      <c r="H64" s="135">
        <f>+I41</f>
        <v>1</v>
      </c>
      <c r="I64" s="135">
        <f t="shared" ref="I64" si="4">0.5+1.75*G64</f>
        <v>2.25</v>
      </c>
      <c r="J64" s="135">
        <f t="shared" ref="J64" si="5">0.25+1.75*G64</f>
        <v>2</v>
      </c>
      <c r="K64" s="135">
        <f t="shared" ref="K64" si="6">I64+1.75*(3*F64/4)</f>
        <v>2.6085750000000001</v>
      </c>
      <c r="L64" s="96">
        <f t="shared" ref="L64" si="7">$D$58*CHOOSE(N64,$D$59,$D$60,$D$61)/K64</f>
        <v>30.668085065600948</v>
      </c>
      <c r="M64" s="17"/>
      <c r="N64" s="75">
        <f t="shared" ref="N64" si="8">IF(G64&lt;0.6,1,IF(G64&lt;0.91,2,3))</f>
        <v>3</v>
      </c>
    </row>
    <row r="65" spans="1:26" s="74" customFormat="1" ht="11.25">
      <c r="E65" s="77"/>
      <c r="F65" s="78"/>
      <c r="G65" s="79"/>
      <c r="H65" s="79"/>
      <c r="I65" s="80"/>
      <c r="J65" s="80"/>
      <c r="K65" s="80"/>
    </row>
    <row r="66" spans="1:26">
      <c r="A66" s="19" t="s">
        <v>24</v>
      </c>
      <c r="D66" s="37"/>
      <c r="E66" s="30"/>
      <c r="F66" s="43"/>
      <c r="G66" s="43"/>
      <c r="H66" s="36"/>
      <c r="I66" s="36"/>
      <c r="J66" s="36"/>
    </row>
    <row r="67" spans="1:26">
      <c r="D67" s="37"/>
      <c r="E67" s="30"/>
      <c r="F67" s="43"/>
      <c r="G67" s="43"/>
      <c r="H67" s="36"/>
      <c r="I67" s="36"/>
      <c r="J67" s="36"/>
    </row>
    <row r="68" spans="1:26">
      <c r="A68" s="298" t="s">
        <v>116</v>
      </c>
      <c r="B68" s="298"/>
      <c r="C68" s="298"/>
      <c r="D68" s="298"/>
      <c r="E68" s="298"/>
      <c r="F68" s="298"/>
      <c r="G68" s="298"/>
      <c r="H68" s="298"/>
      <c r="I68" s="298"/>
      <c r="J68" s="298"/>
      <c r="K68" s="298"/>
      <c r="L68" s="298"/>
      <c r="M68" s="298"/>
    </row>
    <row r="69" spans="1:26">
      <c r="A69" s="298"/>
      <c r="B69" s="298"/>
      <c r="C69" s="298"/>
      <c r="D69" s="298"/>
      <c r="E69" s="298"/>
      <c r="F69" s="298"/>
      <c r="G69" s="298"/>
      <c r="H69" s="298"/>
      <c r="I69" s="298"/>
      <c r="J69" s="298"/>
      <c r="K69" s="298"/>
      <c r="L69" s="298"/>
      <c r="M69" s="298"/>
    </row>
    <row r="70" spans="1:26">
      <c r="D70" s="37"/>
      <c r="E70" s="30"/>
      <c r="F70" s="43"/>
      <c r="G70" s="43"/>
      <c r="H70" s="36"/>
      <c r="I70" s="36"/>
      <c r="J70" s="36"/>
    </row>
    <row r="71" spans="1:26">
      <c r="D71" s="37"/>
      <c r="E71" s="30"/>
      <c r="F71" s="43"/>
      <c r="G71" s="43"/>
      <c r="H71" s="36"/>
      <c r="I71" s="36"/>
      <c r="J71" s="36"/>
      <c r="P71" s="19"/>
      <c r="Q71" s="19"/>
      <c r="R71" s="19"/>
      <c r="S71" s="19"/>
      <c r="T71" s="19"/>
      <c r="U71" s="19"/>
      <c r="V71" s="19"/>
      <c r="Y71" s="19"/>
      <c r="Z71" s="19"/>
    </row>
    <row r="72" spans="1:26">
      <c r="D72" s="37"/>
      <c r="E72" s="30"/>
      <c r="F72" s="43"/>
      <c r="G72" s="43"/>
      <c r="H72" s="36"/>
      <c r="I72" s="36"/>
      <c r="J72" s="36"/>
      <c r="P72" s="19"/>
      <c r="Q72" s="19"/>
      <c r="R72" s="19"/>
      <c r="S72" s="19"/>
      <c r="T72" s="19"/>
      <c r="U72" s="19"/>
      <c r="V72" s="19"/>
      <c r="Y72" s="19"/>
      <c r="Z72" s="19"/>
    </row>
    <row r="73" spans="1:26">
      <c r="D73" s="37"/>
      <c r="E73" s="30"/>
      <c r="F73" s="43"/>
      <c r="G73" s="43"/>
      <c r="H73" s="36"/>
      <c r="I73" s="36"/>
      <c r="J73" s="36"/>
      <c r="P73" s="19"/>
      <c r="Q73" s="19"/>
      <c r="R73" s="19"/>
      <c r="S73" s="19"/>
      <c r="T73" s="19"/>
      <c r="U73" s="19"/>
      <c r="V73" s="19"/>
      <c r="Y73" s="19"/>
      <c r="Z73" s="19"/>
    </row>
    <row r="74" spans="1:26">
      <c r="D74" s="37"/>
      <c r="E74" s="30"/>
      <c r="F74" s="43"/>
      <c r="G74" s="43"/>
      <c r="H74" s="36"/>
      <c r="I74" s="36"/>
      <c r="J74" s="36"/>
      <c r="P74" s="19"/>
      <c r="Q74" s="19"/>
      <c r="R74" s="19"/>
      <c r="S74" s="19"/>
      <c r="T74" s="19"/>
      <c r="U74" s="19"/>
      <c r="V74" s="19"/>
      <c r="Y74" s="19"/>
      <c r="Z74" s="19"/>
    </row>
    <row r="75" spans="1:26">
      <c r="A75" s="17" t="s">
        <v>2</v>
      </c>
      <c r="D75" s="37"/>
      <c r="E75" s="30"/>
      <c r="F75" s="43"/>
      <c r="G75" s="43"/>
      <c r="H75" s="36"/>
      <c r="I75" s="36"/>
      <c r="J75" s="36"/>
      <c r="P75" s="19"/>
      <c r="Q75" s="19"/>
      <c r="R75" s="19"/>
      <c r="S75" s="19"/>
      <c r="T75" s="19"/>
      <c r="U75" s="19"/>
      <c r="V75" s="19"/>
      <c r="Y75" s="19"/>
      <c r="Z75" s="19"/>
    </row>
    <row r="76" spans="1:26">
      <c r="C76" s="44" t="s">
        <v>100</v>
      </c>
      <c r="D76" s="45" t="s">
        <v>25</v>
      </c>
      <c r="E76" s="30"/>
      <c r="F76" s="43"/>
      <c r="G76" s="43"/>
      <c r="H76" s="36"/>
      <c r="I76" s="36"/>
      <c r="J76" s="36"/>
      <c r="O76" s="72"/>
      <c r="P76" s="154"/>
      <c r="Q76" s="154"/>
      <c r="R76" s="154"/>
      <c r="S76" s="19"/>
      <c r="T76" s="19"/>
      <c r="U76" s="19"/>
      <c r="V76" s="19"/>
      <c r="Y76" s="19"/>
      <c r="Z76" s="19"/>
    </row>
    <row r="77" spans="1:26">
      <c r="C77" s="44" t="s">
        <v>101</v>
      </c>
      <c r="D77" s="45" t="s">
        <v>27</v>
      </c>
      <c r="E77" s="30"/>
      <c r="F77" s="43"/>
      <c r="G77" s="43"/>
      <c r="H77" s="36"/>
      <c r="I77" s="36"/>
      <c r="J77" s="36"/>
      <c r="O77" s="199"/>
      <c r="P77" s="155"/>
      <c r="Q77" s="154"/>
      <c r="R77" s="154"/>
      <c r="S77" s="19"/>
      <c r="T77" s="19"/>
      <c r="U77" s="19"/>
      <c r="V77" s="19"/>
      <c r="W77" s="19"/>
      <c r="X77" s="19"/>
      <c r="Y77" s="19"/>
      <c r="Z77" s="19"/>
    </row>
    <row r="78" spans="1:26">
      <c r="C78" s="17" t="s">
        <v>26</v>
      </c>
      <c r="D78" s="45" t="s">
        <v>76</v>
      </c>
      <c r="E78" s="30"/>
      <c r="F78" s="43"/>
      <c r="G78" s="43"/>
      <c r="H78" s="36"/>
      <c r="I78" s="36"/>
      <c r="J78" s="36"/>
      <c r="O78" s="72"/>
      <c r="P78" s="155"/>
      <c r="Q78" s="154"/>
      <c r="R78" s="154"/>
      <c r="S78" s="19"/>
      <c r="T78" s="19"/>
      <c r="U78" s="19"/>
      <c r="V78" s="19"/>
      <c r="W78" s="19"/>
      <c r="X78" s="19"/>
      <c r="Y78" s="19"/>
      <c r="Z78" s="19"/>
    </row>
    <row r="79" spans="1:26" ht="13.5">
      <c r="C79" s="46" t="s">
        <v>102</v>
      </c>
      <c r="D79" s="45" t="s">
        <v>28</v>
      </c>
      <c r="E79" s="30"/>
      <c r="F79" s="43"/>
      <c r="G79" s="43"/>
      <c r="H79" s="36"/>
      <c r="I79" s="36"/>
      <c r="J79" s="36"/>
      <c r="O79" s="72"/>
      <c r="P79" s="155"/>
      <c r="Q79" s="154"/>
      <c r="R79" s="154"/>
    </row>
    <row r="80" spans="1:26">
      <c r="C80" s="17" t="s">
        <v>29</v>
      </c>
      <c r="D80" s="45" t="s">
        <v>30</v>
      </c>
      <c r="E80" s="30"/>
      <c r="F80" s="43"/>
      <c r="G80" s="43"/>
      <c r="H80" s="36"/>
      <c r="I80" s="36"/>
      <c r="J80" s="36"/>
      <c r="O80" s="72"/>
      <c r="P80" s="72"/>
      <c r="Q80" s="72"/>
      <c r="R80" s="72"/>
    </row>
    <row r="81" spans="1:240">
      <c r="C81" s="17" t="s">
        <v>31</v>
      </c>
      <c r="D81" s="45" t="s">
        <v>32</v>
      </c>
      <c r="E81" s="30"/>
      <c r="F81" s="43"/>
      <c r="G81" s="43"/>
      <c r="H81" s="36"/>
      <c r="I81" s="36"/>
      <c r="J81" s="36"/>
      <c r="O81" s="72"/>
      <c r="P81" s="72"/>
      <c r="Q81" s="72"/>
      <c r="R81" s="72"/>
      <c r="S81" s="301" t="s">
        <v>50</v>
      </c>
      <c r="T81" s="301" t="s">
        <v>51</v>
      </c>
      <c r="U81" s="301"/>
      <c r="V81" s="301"/>
      <c r="W81" s="301"/>
      <c r="X81" s="301"/>
      <c r="Y81" s="301"/>
      <c r="Z81" s="301"/>
      <c r="AA81" s="301"/>
    </row>
    <row r="82" spans="1:240">
      <c r="D82" s="45" t="s">
        <v>33</v>
      </c>
      <c r="E82" s="30"/>
      <c r="F82" s="43"/>
      <c r="G82" s="43"/>
      <c r="H82" s="36"/>
      <c r="I82" s="36"/>
      <c r="J82" s="36"/>
      <c r="O82" s="19"/>
      <c r="S82" s="301"/>
      <c r="T82" s="116">
        <v>1.25</v>
      </c>
      <c r="U82" s="116">
        <v>1.5</v>
      </c>
      <c r="V82" s="116">
        <v>1.75</v>
      </c>
      <c r="W82" s="116">
        <v>2</v>
      </c>
      <c r="X82" s="116">
        <v>2.5</v>
      </c>
      <c r="Y82" s="116">
        <v>3</v>
      </c>
      <c r="Z82" s="116">
        <v>4</v>
      </c>
      <c r="AA82" s="116">
        <v>5</v>
      </c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/>
      <c r="CX82" s="19"/>
      <c r="CY82" s="19"/>
      <c r="CZ82" s="19"/>
      <c r="DA82" s="19"/>
      <c r="DB82" s="19"/>
      <c r="DC82" s="19"/>
      <c r="DD82" s="19"/>
      <c r="DE82" s="19"/>
      <c r="DF82" s="19"/>
      <c r="DG82" s="19"/>
      <c r="DH82" s="19"/>
      <c r="DI82" s="19"/>
      <c r="DJ82" s="19"/>
      <c r="DK82" s="19"/>
      <c r="DL82" s="19"/>
      <c r="DM82" s="19"/>
      <c r="DN82" s="19"/>
      <c r="DO82" s="19"/>
      <c r="DP82" s="19"/>
      <c r="DQ82" s="19"/>
      <c r="DR82" s="19"/>
      <c r="DS82" s="19"/>
      <c r="DT82" s="19"/>
      <c r="DU82" s="19"/>
      <c r="DV82" s="19"/>
      <c r="DW82" s="19"/>
      <c r="DX82" s="19"/>
      <c r="DY82" s="19"/>
      <c r="DZ82" s="19"/>
      <c r="EA82" s="19"/>
      <c r="EB82" s="19"/>
      <c r="EC82" s="19"/>
      <c r="ED82" s="19"/>
      <c r="EE82" s="19"/>
      <c r="EF82" s="19"/>
      <c r="EG82" s="19"/>
      <c r="EH82" s="19"/>
      <c r="EI82" s="19"/>
      <c r="EJ82" s="19"/>
      <c r="EK82" s="19"/>
      <c r="EL82" s="19"/>
      <c r="EM82" s="19"/>
      <c r="EN82" s="19"/>
      <c r="EO82" s="19"/>
      <c r="EP82" s="19"/>
      <c r="EQ82" s="19"/>
      <c r="ER82" s="19"/>
      <c r="ES82" s="19"/>
      <c r="ET82" s="19"/>
      <c r="EU82" s="19"/>
      <c r="EV82" s="19"/>
      <c r="EW82" s="19"/>
      <c r="EX82" s="19"/>
      <c r="EY82" s="19"/>
      <c r="EZ82" s="19"/>
      <c r="FA82" s="19"/>
      <c r="FB82" s="19"/>
      <c r="FC82" s="19"/>
      <c r="FD82" s="19"/>
      <c r="FE82" s="19"/>
      <c r="FF82" s="19"/>
      <c r="FG82" s="19"/>
      <c r="FH82" s="19"/>
      <c r="FI82" s="19"/>
      <c r="FJ82" s="19"/>
      <c r="FK82" s="19"/>
      <c r="FL82" s="19"/>
      <c r="FM82" s="19"/>
      <c r="FN82" s="19"/>
      <c r="FO82" s="19"/>
      <c r="FP82" s="19"/>
      <c r="FQ82" s="19"/>
      <c r="FR82" s="19"/>
      <c r="FS82" s="19"/>
      <c r="FT82" s="19"/>
      <c r="FU82" s="19"/>
      <c r="FV82" s="19"/>
      <c r="FW82" s="19"/>
      <c r="FX82" s="19"/>
      <c r="FY82" s="19"/>
      <c r="FZ82" s="19"/>
      <c r="GA82" s="19"/>
      <c r="GB82" s="19"/>
      <c r="GC82" s="19"/>
      <c r="GD82" s="19"/>
      <c r="GE82" s="19"/>
      <c r="GF82" s="19"/>
      <c r="GG82" s="19"/>
      <c r="GH82" s="19"/>
      <c r="GI82" s="19"/>
      <c r="GJ82" s="19"/>
      <c r="GK82" s="19"/>
      <c r="GL82" s="19"/>
      <c r="GM82" s="19"/>
      <c r="GN82" s="19"/>
      <c r="GO82" s="19"/>
      <c r="GP82" s="19"/>
      <c r="GQ82" s="19"/>
      <c r="GR82" s="19"/>
      <c r="GS82" s="19"/>
      <c r="GT82" s="19"/>
      <c r="GU82" s="19"/>
      <c r="GV82" s="19"/>
      <c r="GW82" s="19"/>
      <c r="GX82" s="19"/>
      <c r="GY82" s="19"/>
      <c r="GZ82" s="19"/>
      <c r="HA82" s="19"/>
      <c r="HB82" s="19"/>
      <c r="HC82" s="19"/>
      <c r="HD82" s="19"/>
      <c r="HE82" s="19"/>
      <c r="HF82" s="19"/>
      <c r="HG82" s="19"/>
      <c r="HH82" s="19"/>
      <c r="HI82" s="19"/>
      <c r="HJ82" s="19"/>
      <c r="HK82" s="19"/>
      <c r="HL82" s="19"/>
      <c r="HM82" s="19"/>
      <c r="HN82" s="19"/>
      <c r="HO82" s="19"/>
      <c r="HP82" s="19"/>
      <c r="HQ82" s="19"/>
      <c r="HR82" s="19"/>
      <c r="HS82" s="19"/>
      <c r="HT82" s="19"/>
      <c r="HU82" s="19"/>
      <c r="HV82" s="19"/>
      <c r="HW82" s="19"/>
      <c r="HX82" s="19"/>
      <c r="HY82" s="19"/>
      <c r="HZ82" s="19"/>
      <c r="IA82" s="19"/>
      <c r="IB82" s="19"/>
      <c r="IC82" s="19"/>
      <c r="ID82" s="19"/>
      <c r="IE82" s="19"/>
      <c r="IF82" s="19"/>
    </row>
    <row r="83" spans="1:240">
      <c r="C83" s="17" t="s">
        <v>34</v>
      </c>
      <c r="D83" s="45" t="s">
        <v>35</v>
      </c>
      <c r="E83" s="30"/>
      <c r="F83" s="43"/>
      <c r="G83" s="43"/>
      <c r="H83" s="36"/>
      <c r="I83" s="36"/>
      <c r="J83" s="36"/>
      <c r="O83" s="19"/>
      <c r="S83" s="196">
        <v>5.0000000000000001E-3</v>
      </c>
      <c r="T83" s="21">
        <v>0.02</v>
      </c>
      <c r="U83" s="21">
        <v>0.05</v>
      </c>
      <c r="V83" s="21">
        <v>0.08</v>
      </c>
      <c r="W83" s="21">
        <v>0.12</v>
      </c>
      <c r="X83" s="21">
        <v>0.23</v>
      </c>
      <c r="Y83" s="21">
        <v>0.43</v>
      </c>
      <c r="Z83" s="21">
        <v>0.72</v>
      </c>
      <c r="AA83" s="21">
        <v>1</v>
      </c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19"/>
      <c r="CY83" s="19"/>
      <c r="CZ83" s="19"/>
      <c r="DA83" s="19"/>
      <c r="DB83" s="19"/>
      <c r="DC83" s="19"/>
      <c r="DD83" s="19"/>
      <c r="DE83" s="19"/>
      <c r="DF83" s="19"/>
      <c r="DG83" s="19"/>
      <c r="DH83" s="19"/>
      <c r="DI83" s="19"/>
      <c r="DJ83" s="19"/>
      <c r="DK83" s="19"/>
      <c r="DL83" s="19"/>
      <c r="DM83" s="19"/>
      <c r="DN83" s="19"/>
      <c r="DO83" s="19"/>
      <c r="DP83" s="19"/>
      <c r="DQ83" s="19"/>
      <c r="DR83" s="19"/>
      <c r="DS83" s="19"/>
      <c r="DT83" s="19"/>
      <c r="DU83" s="19"/>
      <c r="DV83" s="19"/>
      <c r="DW83" s="19"/>
      <c r="DX83" s="19"/>
      <c r="DY83" s="19"/>
      <c r="DZ83" s="19"/>
      <c r="EA83" s="19"/>
      <c r="EB83" s="19"/>
      <c r="EC83" s="19"/>
      <c r="ED83" s="19"/>
      <c r="EE83" s="19"/>
      <c r="EF83" s="19"/>
      <c r="EG83" s="19"/>
      <c r="EH83" s="19"/>
      <c r="EI83" s="19"/>
      <c r="EJ83" s="19"/>
      <c r="EK83" s="19"/>
      <c r="EL83" s="19"/>
      <c r="EM83" s="19"/>
      <c r="EN83" s="19"/>
      <c r="EO83" s="19"/>
      <c r="EP83" s="19"/>
      <c r="EQ83" s="19"/>
      <c r="ER83" s="19"/>
      <c r="ES83" s="19"/>
      <c r="ET83" s="19"/>
      <c r="EU83" s="19"/>
      <c r="EV83" s="19"/>
      <c r="EW83" s="19"/>
      <c r="EX83" s="19"/>
      <c r="EY83" s="19"/>
      <c r="EZ83" s="19"/>
      <c r="FA83" s="19"/>
      <c r="FB83" s="19"/>
      <c r="FC83" s="19"/>
      <c r="FD83" s="19"/>
      <c r="FE83" s="19"/>
      <c r="FF83" s="19"/>
      <c r="FG83" s="19"/>
      <c r="FH83" s="19"/>
      <c r="FI83" s="19"/>
      <c r="FJ83" s="19"/>
      <c r="FK83" s="19"/>
      <c r="FL83" s="19"/>
      <c r="FM83" s="19"/>
      <c r="FN83" s="19"/>
      <c r="FO83" s="19"/>
      <c r="FP83" s="19"/>
      <c r="FQ83" s="19"/>
      <c r="FR83" s="19"/>
      <c r="FS83" s="19"/>
      <c r="FT83" s="19"/>
      <c r="FU83" s="19"/>
      <c r="FV83" s="19"/>
      <c r="FW83" s="19"/>
      <c r="FX83" s="19"/>
      <c r="FY83" s="19"/>
      <c r="FZ83" s="19"/>
      <c r="GA83" s="19"/>
      <c r="GB83" s="19"/>
      <c r="GC83" s="19"/>
      <c r="GD83" s="19"/>
      <c r="GE83" s="19"/>
      <c r="GF83" s="19"/>
      <c r="GG83" s="19"/>
      <c r="GH83" s="19"/>
      <c r="GI83" s="19"/>
      <c r="GJ83" s="19"/>
      <c r="GK83" s="19"/>
      <c r="GL83" s="19"/>
      <c r="GM83" s="19"/>
      <c r="GN83" s="19"/>
      <c r="GO83" s="19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19"/>
      <c r="HI83" s="19"/>
      <c r="HJ83" s="19"/>
      <c r="HK83" s="19"/>
      <c r="HL83" s="19"/>
      <c r="HM83" s="19"/>
      <c r="HN83" s="19"/>
      <c r="HO83" s="19"/>
      <c r="HP83" s="19"/>
      <c r="HQ83" s="19"/>
      <c r="HR83" s="19"/>
      <c r="HS83" s="19"/>
      <c r="HT83" s="19"/>
      <c r="HU83" s="19"/>
      <c r="HV83" s="19"/>
      <c r="HW83" s="19"/>
      <c r="HX83" s="19"/>
      <c r="HY83" s="19"/>
      <c r="HZ83" s="19"/>
      <c r="IA83" s="19"/>
      <c r="IB83" s="19"/>
      <c r="IC83" s="19"/>
      <c r="ID83" s="19"/>
      <c r="IE83" s="19"/>
      <c r="IF83" s="19"/>
    </row>
    <row r="84" spans="1:240">
      <c r="C84" s="17" t="s">
        <v>36</v>
      </c>
      <c r="D84" s="45" t="s">
        <v>37</v>
      </c>
      <c r="E84" s="30"/>
      <c r="F84" s="43"/>
      <c r="G84" s="43"/>
      <c r="H84" s="36"/>
      <c r="I84" s="36"/>
      <c r="J84" s="36"/>
      <c r="O84" s="19"/>
      <c r="S84" s="196">
        <v>0.01</v>
      </c>
      <c r="T84" s="21">
        <v>0.03</v>
      </c>
      <c r="U84" s="21">
        <v>7.0000000000000007E-2</v>
      </c>
      <c r="V84" s="21">
        <v>0.11</v>
      </c>
      <c r="W84" s="21">
        <v>0.15</v>
      </c>
      <c r="X84" s="21">
        <v>0.27</v>
      </c>
      <c r="Y84" s="21">
        <v>0.47</v>
      </c>
      <c r="Z84" s="21">
        <v>0.74</v>
      </c>
      <c r="AA84" s="21">
        <v>1</v>
      </c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  <c r="HN84" s="19"/>
      <c r="HO84" s="19"/>
      <c r="HP84" s="19"/>
      <c r="HQ84" s="19"/>
      <c r="HR84" s="19"/>
      <c r="HS84" s="19"/>
      <c r="HT84" s="19"/>
      <c r="HU84" s="19"/>
      <c r="HV84" s="19"/>
      <c r="HW84" s="19"/>
      <c r="HX84" s="19"/>
      <c r="HY84" s="19"/>
      <c r="HZ84" s="19"/>
      <c r="IA84" s="19"/>
      <c r="IB84" s="19"/>
      <c r="IC84" s="19"/>
      <c r="ID84" s="19"/>
      <c r="IE84" s="19"/>
      <c r="IF84" s="19"/>
    </row>
    <row r="85" spans="1:240" ht="13.5">
      <c r="C85" s="17" t="s">
        <v>38</v>
      </c>
      <c r="D85" s="45" t="s">
        <v>103</v>
      </c>
      <c r="E85" s="30"/>
      <c r="F85" s="43"/>
      <c r="G85" s="43"/>
      <c r="H85" s="36"/>
      <c r="I85" s="36"/>
      <c r="J85" s="36"/>
      <c r="O85" s="19"/>
      <c r="S85" s="196">
        <v>0.02</v>
      </c>
      <c r="T85" s="21">
        <v>0.05</v>
      </c>
      <c r="U85" s="21">
        <v>0.1</v>
      </c>
      <c r="V85" s="21">
        <v>0.15</v>
      </c>
      <c r="W85" s="21">
        <v>0.2</v>
      </c>
      <c r="X85" s="21">
        <v>0.32</v>
      </c>
      <c r="Y85" s="21">
        <v>0.52</v>
      </c>
      <c r="Z85" s="21">
        <v>0.77</v>
      </c>
      <c r="AA85" s="21">
        <v>1</v>
      </c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  <c r="HN85" s="19"/>
      <c r="HO85" s="19"/>
      <c r="HP85" s="19"/>
      <c r="HQ85" s="19"/>
      <c r="HR85" s="19"/>
      <c r="HS85" s="19"/>
      <c r="HT85" s="19"/>
      <c r="HU85" s="19"/>
      <c r="HV85" s="19"/>
      <c r="HW85" s="19"/>
      <c r="HX85" s="19"/>
      <c r="HY85" s="19"/>
      <c r="HZ85" s="19"/>
      <c r="IA85" s="19"/>
      <c r="IB85" s="19"/>
      <c r="IC85" s="19"/>
      <c r="ID85" s="19"/>
      <c r="IE85" s="19"/>
    </row>
    <row r="86" spans="1:240">
      <c r="C86" s="17" t="s">
        <v>39</v>
      </c>
      <c r="D86" s="45" t="s">
        <v>40</v>
      </c>
      <c r="E86" s="30"/>
      <c r="F86" s="43"/>
      <c r="G86" s="43"/>
      <c r="H86" s="36"/>
      <c r="I86" s="36"/>
      <c r="J86" s="36"/>
      <c r="O86" s="19"/>
      <c r="S86" s="196">
        <v>0.05</v>
      </c>
      <c r="T86" s="21">
        <v>0.1</v>
      </c>
      <c r="U86" s="21">
        <v>0.15</v>
      </c>
      <c r="V86" s="21">
        <v>0.2</v>
      </c>
      <c r="W86" s="21">
        <v>0.27</v>
      </c>
      <c r="X86" s="21">
        <v>0.38</v>
      </c>
      <c r="Y86" s="21">
        <v>0.57999999999999996</v>
      </c>
      <c r="Z86" s="21">
        <v>0.8</v>
      </c>
      <c r="AA86" s="21">
        <v>1</v>
      </c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  <c r="HM86" s="19"/>
      <c r="HN86" s="19"/>
      <c r="HO86" s="19"/>
      <c r="HP86" s="19"/>
      <c r="HQ86" s="19"/>
      <c r="HR86" s="19"/>
      <c r="HS86" s="19"/>
      <c r="HT86" s="19"/>
      <c r="HU86" s="19"/>
      <c r="HV86" s="19"/>
      <c r="HW86" s="19"/>
      <c r="HX86" s="19"/>
      <c r="HY86" s="19"/>
      <c r="HZ86" s="19"/>
      <c r="IA86" s="19"/>
      <c r="IB86" s="19"/>
      <c r="IC86" s="19"/>
      <c r="ID86" s="19"/>
      <c r="IE86" s="19"/>
      <c r="IF86" s="19"/>
    </row>
    <row r="87" spans="1:240">
      <c r="D87" s="45" t="s">
        <v>199</v>
      </c>
      <c r="E87" s="30"/>
      <c r="F87" s="43"/>
      <c r="G87" s="43"/>
      <c r="H87" s="36"/>
      <c r="I87" s="36"/>
      <c r="J87" s="36"/>
      <c r="O87" s="19"/>
      <c r="S87" s="115">
        <v>0.1</v>
      </c>
      <c r="T87" s="21">
        <v>0.15</v>
      </c>
      <c r="U87" s="21">
        <v>0.2</v>
      </c>
      <c r="V87" s="21">
        <v>0.27</v>
      </c>
      <c r="W87" s="21">
        <v>0.35</v>
      </c>
      <c r="X87" s="21">
        <v>0.46</v>
      </c>
      <c r="Y87" s="21">
        <v>0.65</v>
      </c>
      <c r="Z87" s="21">
        <v>0.84</v>
      </c>
      <c r="AA87" s="21">
        <v>1</v>
      </c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  <c r="HK87" s="19"/>
      <c r="HL87" s="19"/>
      <c r="HM87" s="19"/>
      <c r="HN87" s="19"/>
      <c r="HO87" s="19"/>
      <c r="HP87" s="19"/>
      <c r="HQ87" s="19"/>
      <c r="HR87" s="19"/>
      <c r="HS87" s="19"/>
      <c r="HT87" s="19"/>
      <c r="HU87" s="19"/>
      <c r="HV87" s="19"/>
      <c r="HW87" s="19"/>
      <c r="HX87" s="19"/>
      <c r="HY87" s="19"/>
      <c r="HZ87" s="19"/>
      <c r="IA87" s="19"/>
      <c r="IB87" s="19"/>
      <c r="IC87" s="19"/>
      <c r="ID87" s="19"/>
      <c r="IE87" s="19"/>
      <c r="IF87" s="19"/>
    </row>
    <row r="88" spans="1:240">
      <c r="D88" s="45" t="s">
        <v>200</v>
      </c>
      <c r="E88" s="30"/>
      <c r="F88" s="43"/>
      <c r="G88" s="43"/>
      <c r="H88" s="36"/>
      <c r="I88" s="36"/>
      <c r="J88" s="36"/>
      <c r="O88" s="19"/>
      <c r="S88" s="115">
        <v>0.2</v>
      </c>
      <c r="T88" s="21">
        <v>0.25</v>
      </c>
      <c r="U88" s="21">
        <v>0.3</v>
      </c>
      <c r="V88" s="21">
        <v>0.38</v>
      </c>
      <c r="W88" s="21">
        <v>0.47</v>
      </c>
      <c r="X88" s="21">
        <v>0.57999999999999996</v>
      </c>
      <c r="Y88" s="21">
        <v>0.75</v>
      </c>
      <c r="Z88" s="21">
        <v>0.88</v>
      </c>
      <c r="AA88" s="21">
        <v>1</v>
      </c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  <c r="HO88" s="19"/>
      <c r="HP88" s="19"/>
      <c r="HQ88" s="19"/>
      <c r="HR88" s="19"/>
      <c r="HS88" s="19"/>
      <c r="HT88" s="19"/>
      <c r="HU88" s="19"/>
      <c r="HV88" s="19"/>
      <c r="HW88" s="19"/>
      <c r="HX88" s="19"/>
      <c r="HY88" s="19"/>
      <c r="HZ88" s="19"/>
      <c r="IA88" s="19"/>
      <c r="IB88" s="19"/>
      <c r="IC88" s="19"/>
      <c r="ID88" s="19"/>
      <c r="IE88" s="19"/>
      <c r="IF88" s="19"/>
    </row>
    <row r="89" spans="1:240">
      <c r="D89" s="45" t="s">
        <v>201</v>
      </c>
      <c r="E89" s="30"/>
      <c r="F89" s="43"/>
      <c r="G89" s="43"/>
      <c r="H89" s="36"/>
      <c r="I89" s="36"/>
      <c r="J89" s="36"/>
      <c r="O89" s="19"/>
      <c r="S89" s="115">
        <v>0.4</v>
      </c>
      <c r="T89" s="21">
        <v>0.45</v>
      </c>
      <c r="U89" s="21">
        <v>0.5</v>
      </c>
      <c r="V89" s="21">
        <v>0.56000000000000005</v>
      </c>
      <c r="W89" s="21">
        <v>0.64</v>
      </c>
      <c r="X89" s="21">
        <v>0.75</v>
      </c>
      <c r="Y89" s="21">
        <v>0.85</v>
      </c>
      <c r="Z89" s="21">
        <v>0.93</v>
      </c>
      <c r="AA89" s="21">
        <v>1</v>
      </c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</row>
    <row r="90" spans="1:240">
      <c r="D90" s="45"/>
      <c r="E90" s="30"/>
      <c r="F90" s="43"/>
      <c r="G90" s="43"/>
      <c r="H90" s="36"/>
      <c r="I90" s="36"/>
      <c r="J90" s="36"/>
      <c r="O90" s="19"/>
      <c r="S90" s="115">
        <v>0.6</v>
      </c>
      <c r="T90" s="21">
        <v>0.65</v>
      </c>
      <c r="U90" s="21">
        <v>0.7</v>
      </c>
      <c r="V90" s="21">
        <v>0.75</v>
      </c>
      <c r="W90" s="21">
        <v>0.81</v>
      </c>
      <c r="X90" s="21">
        <v>0.87</v>
      </c>
      <c r="Y90" s="21">
        <v>0.94</v>
      </c>
      <c r="Z90" s="21">
        <v>0.98</v>
      </c>
      <c r="AA90" s="21">
        <v>1</v>
      </c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</row>
    <row r="91" spans="1:240">
      <c r="D91" s="37"/>
      <c r="E91" s="30"/>
      <c r="F91" s="43"/>
      <c r="G91" s="43"/>
      <c r="H91" s="36"/>
      <c r="I91" s="36"/>
      <c r="J91" s="36"/>
      <c r="O91" s="196" t="s">
        <v>198</v>
      </c>
      <c r="P91" s="196" t="s">
        <v>46</v>
      </c>
      <c r="Q91" s="196" t="s">
        <v>197</v>
      </c>
      <c r="S91" s="115">
        <v>0.8</v>
      </c>
      <c r="T91" s="21">
        <v>0.84</v>
      </c>
      <c r="U91" s="21">
        <v>0.87</v>
      </c>
      <c r="V91" s="21">
        <v>0.9</v>
      </c>
      <c r="W91" s="21">
        <v>0.93</v>
      </c>
      <c r="X91" s="21">
        <v>0.96</v>
      </c>
      <c r="Y91" s="21">
        <v>0.98</v>
      </c>
      <c r="Z91" s="21">
        <v>1</v>
      </c>
      <c r="AA91" s="21">
        <v>1</v>
      </c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  <c r="HY91" s="19"/>
      <c r="HZ91" s="19"/>
      <c r="IA91" s="19"/>
      <c r="IB91" s="19"/>
      <c r="IC91" s="19"/>
      <c r="ID91" s="19"/>
      <c r="IE91" s="19"/>
      <c r="IF91" s="19"/>
    </row>
    <row r="92" spans="1:240">
      <c r="A92" s="17" t="s">
        <v>41</v>
      </c>
      <c r="I92" s="36"/>
      <c r="J92" s="36"/>
      <c r="O92" s="198">
        <v>1</v>
      </c>
      <c r="P92" s="198">
        <v>0.105</v>
      </c>
      <c r="Q92" s="198">
        <v>14000</v>
      </c>
      <c r="S92" s="115">
        <v>1</v>
      </c>
      <c r="T92" s="21">
        <v>1</v>
      </c>
      <c r="U92" s="21">
        <v>1</v>
      </c>
      <c r="V92" s="21">
        <v>1</v>
      </c>
      <c r="W92" s="21">
        <v>1</v>
      </c>
      <c r="X92" s="21">
        <v>1</v>
      </c>
      <c r="Y92" s="21">
        <v>1</v>
      </c>
      <c r="Z92" s="21">
        <v>1</v>
      </c>
      <c r="AA92" s="21">
        <v>1</v>
      </c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  <c r="HM92" s="19"/>
      <c r="HN92" s="19"/>
      <c r="HO92" s="19"/>
      <c r="HP92" s="19"/>
      <c r="HQ92" s="19"/>
      <c r="HR92" s="19"/>
      <c r="HS92" s="19"/>
      <c r="HT92" s="19"/>
      <c r="HU92" s="19"/>
      <c r="HV92" s="19"/>
      <c r="HW92" s="19"/>
      <c r="HX92" s="19"/>
      <c r="HY92" s="19"/>
      <c r="HZ92" s="19"/>
      <c r="IA92" s="19"/>
      <c r="IB92" s="19"/>
      <c r="IC92" s="19"/>
      <c r="ID92" s="19"/>
      <c r="IE92" s="19"/>
      <c r="IF92" s="19"/>
    </row>
    <row r="93" spans="1:240">
      <c r="C93" s="47"/>
      <c r="I93" s="36"/>
      <c r="J93" s="36"/>
      <c r="O93" s="117">
        <v>2</v>
      </c>
      <c r="P93" s="117">
        <v>0.1</v>
      </c>
      <c r="Q93" s="117">
        <v>11000</v>
      </c>
      <c r="S93" s="115">
        <v>1.5</v>
      </c>
      <c r="T93" s="21">
        <v>1.4</v>
      </c>
      <c r="U93" s="21">
        <v>1.3</v>
      </c>
      <c r="V93" s="21">
        <v>1.2</v>
      </c>
      <c r="W93" s="21">
        <v>1.1200000000000001</v>
      </c>
      <c r="X93" s="21">
        <v>1.06</v>
      </c>
      <c r="Y93" s="21">
        <v>1.03</v>
      </c>
      <c r="Z93" s="21">
        <v>1</v>
      </c>
      <c r="AA93" s="21">
        <v>1</v>
      </c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</row>
    <row r="94" spans="1:240" ht="13.5">
      <c r="B94" s="48" t="s">
        <v>102</v>
      </c>
      <c r="C94" s="49"/>
      <c r="D94" s="41">
        <v>1.5</v>
      </c>
      <c r="E94" s="72"/>
      <c r="F94" s="72"/>
      <c r="G94" s="72"/>
      <c r="H94" s="72"/>
      <c r="I94" s="36"/>
      <c r="J94" s="36"/>
      <c r="K94" s="72"/>
      <c r="L94" s="72"/>
      <c r="O94" s="198">
        <v>3</v>
      </c>
      <c r="P94" s="198">
        <v>9.6000000000000002E-2</v>
      </c>
      <c r="Q94" s="198">
        <v>4000</v>
      </c>
      <c r="S94" s="115">
        <v>2</v>
      </c>
      <c r="T94" s="21">
        <v>1.7</v>
      </c>
      <c r="U94" s="21">
        <v>1.5</v>
      </c>
      <c r="V94" s="21">
        <v>1.4</v>
      </c>
      <c r="W94" s="21">
        <v>1.3</v>
      </c>
      <c r="X94" s="21">
        <v>1.2</v>
      </c>
      <c r="Y94" s="21">
        <v>1.1000000000000001</v>
      </c>
      <c r="Z94" s="21">
        <v>1.05</v>
      </c>
      <c r="AA94" s="21">
        <v>1</v>
      </c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  <c r="HO94" s="19"/>
      <c r="HP94" s="19"/>
      <c r="HQ94" s="19"/>
      <c r="HR94" s="19"/>
      <c r="HS94" s="19"/>
      <c r="HT94" s="19"/>
      <c r="HU94" s="19"/>
      <c r="HV94" s="19"/>
      <c r="HW94" s="19"/>
      <c r="HX94" s="19"/>
      <c r="HY94" s="19"/>
      <c r="HZ94" s="19"/>
      <c r="IA94" s="19"/>
      <c r="IB94" s="19"/>
      <c r="IC94" s="19"/>
      <c r="ID94" s="19"/>
      <c r="IE94" s="19"/>
      <c r="IF94" s="19"/>
    </row>
    <row r="95" spans="1:240" ht="13.5">
      <c r="B95" s="50" t="s">
        <v>104</v>
      </c>
      <c r="C95" s="51"/>
      <c r="D95" s="53">
        <f>0.149*57</f>
        <v>8.4930000000000003</v>
      </c>
      <c r="E95" s="123" t="s">
        <v>42</v>
      </c>
      <c r="F95" s="72"/>
      <c r="G95" s="72"/>
      <c r="H95" s="72"/>
      <c r="I95" s="36"/>
      <c r="J95" s="36"/>
      <c r="K95" s="72"/>
      <c r="L95" s="72"/>
      <c r="O95" s="198">
        <v>4</v>
      </c>
      <c r="P95" s="198">
        <v>0.1</v>
      </c>
      <c r="Q95" s="198">
        <v>16000</v>
      </c>
      <c r="S95" s="115">
        <v>3</v>
      </c>
      <c r="T95" s="21">
        <v>2.2000000000000002</v>
      </c>
      <c r="U95" s="21">
        <v>1.8</v>
      </c>
      <c r="V95" s="21">
        <v>1.65</v>
      </c>
      <c r="W95" s="21">
        <v>1.5</v>
      </c>
      <c r="X95" s="21">
        <v>1.35</v>
      </c>
      <c r="Y95" s="21">
        <v>1.2</v>
      </c>
      <c r="Z95" s="21">
        <v>1.1000000000000001</v>
      </c>
      <c r="AA95" s="21">
        <v>1</v>
      </c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  <c r="HK95" s="19"/>
      <c r="HL95" s="19"/>
      <c r="HM95" s="19"/>
      <c r="HN95" s="19"/>
      <c r="HO95" s="19"/>
      <c r="HP95" s="19"/>
      <c r="HQ95" s="19"/>
      <c r="HR95" s="19"/>
      <c r="HS95" s="19"/>
      <c r="HT95" s="19"/>
      <c r="HU95" s="19"/>
      <c r="HV95" s="19"/>
      <c r="HW95" s="19"/>
      <c r="HX95" s="19"/>
      <c r="HY95" s="19"/>
      <c r="HZ95" s="19"/>
      <c r="IA95" s="19"/>
      <c r="IB95" s="19"/>
      <c r="IC95" s="19"/>
      <c r="ID95" s="19"/>
      <c r="IE95" s="19"/>
      <c r="IF95" s="19"/>
    </row>
    <row r="96" spans="1:240" ht="13.5">
      <c r="B96" s="50" t="s">
        <v>105</v>
      </c>
      <c r="C96" s="51"/>
      <c r="D96" s="54">
        <f>D95/14.21*100</f>
        <v>59.767769176636165</v>
      </c>
      <c r="E96" s="123" t="s">
        <v>43</v>
      </c>
      <c r="F96" s="123"/>
      <c r="G96" s="123"/>
      <c r="H96" s="123"/>
      <c r="I96" s="60"/>
      <c r="J96" s="60"/>
      <c r="K96" s="123"/>
      <c r="L96" s="72"/>
      <c r="S96" s="115">
        <v>5</v>
      </c>
      <c r="T96" s="21">
        <v>3</v>
      </c>
      <c r="U96" s="21">
        <v>2.2000000000000002</v>
      </c>
      <c r="V96" s="21">
        <v>1.9</v>
      </c>
      <c r="W96" s="21">
        <v>1.7</v>
      </c>
      <c r="X96" s="21">
        <v>1.5</v>
      </c>
      <c r="Y96" s="21">
        <v>1.3</v>
      </c>
      <c r="Z96" s="21">
        <v>1.1499999999999999</v>
      </c>
      <c r="AA96" s="21">
        <v>1</v>
      </c>
    </row>
    <row r="97" spans="1:25" ht="13.5">
      <c r="B97" s="50" t="s">
        <v>104</v>
      </c>
      <c r="C97" s="51"/>
      <c r="D97" s="53">
        <f>0.149*28</f>
        <v>4.1719999999999997</v>
      </c>
      <c r="E97" s="123" t="s">
        <v>132</v>
      </c>
      <c r="F97" s="123"/>
      <c r="G97" s="123"/>
      <c r="H97" s="123"/>
      <c r="I97" s="60"/>
      <c r="J97" s="60"/>
      <c r="K97" s="123"/>
      <c r="L97" s="72"/>
    </row>
    <row r="98" spans="1:25" ht="13.5">
      <c r="B98" s="50" t="s">
        <v>105</v>
      </c>
      <c r="C98" s="51"/>
      <c r="D98" s="54">
        <f>D97/14.21*100</f>
        <v>29.359605911330043</v>
      </c>
      <c r="E98" s="123" t="s">
        <v>44</v>
      </c>
      <c r="F98" s="123"/>
      <c r="G98" s="123"/>
      <c r="H98" s="123"/>
      <c r="I98" s="60"/>
      <c r="J98" s="60"/>
      <c r="K98" s="123"/>
      <c r="L98" s="72"/>
    </row>
    <row r="99" spans="1:25" ht="13.5">
      <c r="B99" s="50" t="s">
        <v>213</v>
      </c>
      <c r="C99" s="49"/>
      <c r="D99" s="55">
        <v>30800</v>
      </c>
      <c r="E99" s="123" t="s">
        <v>326</v>
      </c>
      <c r="F99" s="123"/>
      <c r="G99" s="123"/>
      <c r="H99" s="123"/>
      <c r="I99" s="60"/>
      <c r="J99" s="60"/>
      <c r="K99" s="123"/>
      <c r="L99" s="72"/>
    </row>
    <row r="100" spans="1:25" s="56" customFormat="1">
      <c r="D100" s="57"/>
      <c r="E100" s="58"/>
      <c r="F100" s="59"/>
      <c r="G100" s="59"/>
      <c r="H100" s="60"/>
      <c r="I100" s="60"/>
      <c r="J100" s="60"/>
      <c r="S100" s="17"/>
      <c r="W100" s="17"/>
      <c r="X100" s="17"/>
    </row>
    <row r="101" spans="1:25" s="31" customFormat="1" ht="25.5">
      <c r="B101" s="202" t="str">
        <f>B$40</f>
        <v>Pozo de</v>
      </c>
      <c r="C101" s="202" t="str">
        <f>C$40</f>
        <v>Pozo a</v>
      </c>
      <c r="D101" s="202" t="s">
        <v>130</v>
      </c>
      <c r="E101" s="202" t="s">
        <v>208</v>
      </c>
      <c r="F101" s="202" t="str">
        <f>I40</f>
        <v>Ancho zanja
Bd (m)</v>
      </c>
      <c r="G101" s="142" t="s">
        <v>212</v>
      </c>
      <c r="H101" s="143" t="s">
        <v>46</v>
      </c>
      <c r="I101" s="202" t="s">
        <v>226</v>
      </c>
      <c r="J101" s="204" t="s">
        <v>47</v>
      </c>
      <c r="K101" s="202" t="s">
        <v>227</v>
      </c>
      <c r="L101" s="144" t="s">
        <v>228</v>
      </c>
      <c r="N101" s="17" t="s">
        <v>50</v>
      </c>
      <c r="O101" s="17" t="s">
        <v>51</v>
      </c>
      <c r="P101" s="61"/>
      <c r="Q101" s="61"/>
      <c r="R101" s="61"/>
      <c r="S101" s="61"/>
      <c r="T101" s="61"/>
      <c r="U101" s="61"/>
      <c r="V101" s="17"/>
      <c r="W101" s="17"/>
      <c r="X101" s="61"/>
      <c r="Y101" s="61"/>
    </row>
    <row r="102" spans="1:25" s="74" customFormat="1">
      <c r="B102" s="140" t="str">
        <f>+B64</f>
        <v>CR-01</v>
      </c>
      <c r="C102" s="140">
        <f>+C64</f>
        <v>131765</v>
      </c>
      <c r="D102" s="135">
        <f>+D64</f>
        <v>7.5</v>
      </c>
      <c r="E102" s="135">
        <f>+F64</f>
        <v>0.2732</v>
      </c>
      <c r="F102" s="135">
        <f>+H64</f>
        <v>1</v>
      </c>
      <c r="G102" s="135">
        <f>K41+L64</f>
        <v>36.132085065600947</v>
      </c>
      <c r="H102" s="132">
        <v>0.1</v>
      </c>
      <c r="I102" s="156">
        <v>11000</v>
      </c>
      <c r="J102" s="52">
        <v>1.1200000000000001</v>
      </c>
      <c r="K102" s="140">
        <f t="shared" ref="K102" si="9">I102*J102</f>
        <v>12320.000000000002</v>
      </c>
      <c r="L102" s="135">
        <f t="shared" ref="L102" si="10">(($D$94*H102*G102)/(IF(E102&lt;=0.5,$D$96,$D$98)+(0.061*K102)))*100</f>
        <v>0.66805059385286047</v>
      </c>
      <c r="M102" s="81"/>
      <c r="N102" s="81">
        <f t="shared" ref="N102" si="11">$D$99/I102</f>
        <v>2.8</v>
      </c>
      <c r="O102" s="81">
        <f t="shared" ref="O102" si="12">F102/E102</f>
        <v>3.6603221083455346</v>
      </c>
      <c r="P102" s="82"/>
      <c r="Q102" s="82"/>
      <c r="R102" s="83"/>
      <c r="S102" s="82"/>
      <c r="T102" s="83"/>
      <c r="U102" s="83"/>
      <c r="V102" s="83"/>
      <c r="W102" s="83"/>
      <c r="X102" s="84"/>
      <c r="Y102" s="84"/>
    </row>
    <row r="103" spans="1:25" s="74" customFormat="1" ht="11.25">
      <c r="N103" s="81"/>
      <c r="O103" s="81"/>
      <c r="P103" s="82"/>
      <c r="Q103" s="82"/>
      <c r="R103" s="83"/>
      <c r="S103" s="82"/>
      <c r="T103" s="83"/>
      <c r="U103" s="83"/>
      <c r="V103" s="83"/>
      <c r="W103" s="83"/>
      <c r="X103" s="84"/>
      <c r="Y103" s="84"/>
    </row>
    <row r="104" spans="1:25" ht="37.5" customHeight="1">
      <c r="A104" s="288" t="s">
        <v>106</v>
      </c>
      <c r="B104" s="288"/>
      <c r="C104" s="288"/>
      <c r="D104" s="288"/>
      <c r="E104" s="288"/>
      <c r="F104" s="288"/>
      <c r="G104" s="288"/>
      <c r="H104" s="288"/>
      <c r="I104" s="288"/>
      <c r="J104" s="288"/>
      <c r="K104" s="288"/>
      <c r="L104" s="288"/>
      <c r="M104" s="288"/>
      <c r="V104" s="83"/>
      <c r="W104" s="83"/>
    </row>
    <row r="105" spans="1:25">
      <c r="V105" s="83"/>
      <c r="W105" s="83"/>
    </row>
    <row r="106" spans="1:25">
      <c r="A106" s="19" t="s">
        <v>60</v>
      </c>
      <c r="V106" s="83"/>
      <c r="W106" s="83"/>
    </row>
    <row r="107" spans="1:25">
      <c r="V107" s="83"/>
      <c r="W107" s="83"/>
    </row>
    <row r="108" spans="1:25">
      <c r="A108" s="298" t="s">
        <v>115</v>
      </c>
      <c r="B108" s="298"/>
      <c r="C108" s="298"/>
      <c r="D108" s="298"/>
      <c r="E108" s="298"/>
      <c r="F108" s="298"/>
      <c r="G108" s="298"/>
      <c r="H108" s="298"/>
      <c r="I108" s="298"/>
      <c r="J108" s="298"/>
      <c r="K108" s="298"/>
      <c r="L108" s="298"/>
      <c r="M108" s="298"/>
    </row>
    <row r="109" spans="1:25">
      <c r="A109" s="298"/>
      <c r="B109" s="298"/>
      <c r="C109" s="298"/>
      <c r="D109" s="298"/>
      <c r="E109" s="298"/>
      <c r="F109" s="298"/>
      <c r="G109" s="298"/>
      <c r="H109" s="298"/>
      <c r="I109" s="298"/>
      <c r="J109" s="298"/>
      <c r="K109" s="298"/>
      <c r="L109" s="298"/>
      <c r="M109" s="298"/>
    </row>
    <row r="115" spans="3:10">
      <c r="C115" s="17" t="s">
        <v>2</v>
      </c>
    </row>
    <row r="116" spans="3:10">
      <c r="C116" s="62" t="s">
        <v>61</v>
      </c>
      <c r="D116" s="17" t="s">
        <v>216</v>
      </c>
    </row>
    <row r="117" spans="3:10">
      <c r="C117" s="62"/>
      <c r="D117" s="17" t="s">
        <v>214</v>
      </c>
    </row>
    <row r="118" spans="3:10">
      <c r="C118" s="62"/>
      <c r="D118" s="17" t="s">
        <v>215</v>
      </c>
    </row>
    <row r="119" spans="3:10">
      <c r="C119" s="62" t="s">
        <v>62</v>
      </c>
      <c r="D119" s="17" t="s">
        <v>217</v>
      </c>
    </row>
    <row r="120" spans="3:10">
      <c r="C120" s="62"/>
      <c r="D120" s="17" t="s">
        <v>219</v>
      </c>
    </row>
    <row r="121" spans="3:10">
      <c r="C121" s="62"/>
      <c r="D121" s="17" t="s">
        <v>218</v>
      </c>
    </row>
    <row r="122" spans="3:10">
      <c r="C122" s="62" t="s">
        <v>63</v>
      </c>
      <c r="D122" s="17" t="s">
        <v>220</v>
      </c>
    </row>
    <row r="123" spans="3:10">
      <c r="C123" s="62" t="s">
        <v>64</v>
      </c>
      <c r="D123" s="17" t="s">
        <v>65</v>
      </c>
    </row>
    <row r="124" spans="3:10" ht="17.25" customHeight="1">
      <c r="C124" s="62"/>
      <c r="D124" s="17" t="s">
        <v>107</v>
      </c>
    </row>
    <row r="125" spans="3:10">
      <c r="C125" s="62" t="s">
        <v>66</v>
      </c>
      <c r="D125" s="17" t="s">
        <v>221</v>
      </c>
    </row>
    <row r="126" spans="3:10">
      <c r="C126" s="62"/>
      <c r="D126" s="56"/>
    </row>
    <row r="127" spans="3:10" ht="13.5">
      <c r="D127" s="48" t="s">
        <v>108</v>
      </c>
      <c r="E127" s="49"/>
      <c r="F127" s="53">
        <f>D96/8</f>
        <v>7.4709711470795206</v>
      </c>
      <c r="G127" s="123" t="str">
        <f>E96</f>
        <v>Para tuberías PVC Novafort</v>
      </c>
      <c r="H127" s="72"/>
      <c r="I127" s="60"/>
      <c r="J127" s="72"/>
    </row>
    <row r="128" spans="3:10" ht="13.5">
      <c r="D128" s="48" t="s">
        <v>108</v>
      </c>
      <c r="E128" s="49"/>
      <c r="F128" s="53">
        <f>D98/8</f>
        <v>3.6699507389162553</v>
      </c>
      <c r="G128" s="123" t="s">
        <v>44</v>
      </c>
      <c r="H128" s="72"/>
      <c r="I128" s="60"/>
      <c r="J128" s="72"/>
    </row>
    <row r="129" spans="1:24">
      <c r="D129" s="48" t="s">
        <v>67</v>
      </c>
      <c r="E129" s="49"/>
      <c r="F129" s="53">
        <v>5.44</v>
      </c>
      <c r="G129" s="72" t="s">
        <v>68</v>
      </c>
      <c r="H129" s="72"/>
      <c r="I129" s="72"/>
      <c r="J129" s="72"/>
    </row>
    <row r="131" spans="1:24" s="31" customFormat="1" ht="13.5">
      <c r="B131" s="274" t="str">
        <f>B$40</f>
        <v>Pozo de</v>
      </c>
      <c r="C131" s="274" t="str">
        <f>C$40</f>
        <v>Pozo a</v>
      </c>
      <c r="D131" s="274" t="s">
        <v>130</v>
      </c>
      <c r="E131" s="274" t="s">
        <v>208</v>
      </c>
      <c r="F131" s="274" t="s">
        <v>207</v>
      </c>
      <c r="G131" s="202" t="s">
        <v>9</v>
      </c>
      <c r="H131" s="202" t="s">
        <v>45</v>
      </c>
      <c r="I131" s="274" t="s">
        <v>69</v>
      </c>
      <c r="J131" s="274" t="s">
        <v>70</v>
      </c>
      <c r="K131" s="274" t="s">
        <v>71</v>
      </c>
      <c r="L131" s="202" t="s">
        <v>229</v>
      </c>
      <c r="W131" s="17"/>
      <c r="X131" s="17"/>
    </row>
    <row r="132" spans="1:24">
      <c r="B132" s="275"/>
      <c r="C132" s="275"/>
      <c r="D132" s="275"/>
      <c r="E132" s="287"/>
      <c r="F132" s="287"/>
      <c r="G132" s="146" t="s">
        <v>16</v>
      </c>
      <c r="H132" s="147" t="s">
        <v>49</v>
      </c>
      <c r="I132" s="275"/>
      <c r="J132" s="275"/>
      <c r="K132" s="275"/>
      <c r="L132" s="203" t="s">
        <v>72</v>
      </c>
    </row>
    <row r="133" spans="1:24" s="74" customFormat="1">
      <c r="B133" s="140" t="str">
        <f>+B102</f>
        <v>CR-01</v>
      </c>
      <c r="C133" s="140">
        <f>+C102</f>
        <v>131765</v>
      </c>
      <c r="D133" s="135">
        <f>+D102</f>
        <v>7.5</v>
      </c>
      <c r="E133" s="135">
        <f>+E102</f>
        <v>0.2732</v>
      </c>
      <c r="F133" s="135">
        <f>+G64</f>
        <v>1</v>
      </c>
      <c r="G133" s="135">
        <f>+F102</f>
        <v>1</v>
      </c>
      <c r="H133" s="135">
        <f>+G102</f>
        <v>36.132085065600947</v>
      </c>
      <c r="I133" s="28">
        <f t="shared" ref="I133" si="13">IF(F133/E133&gt;=2,2.5,3)</f>
        <v>2.5</v>
      </c>
      <c r="J133" s="28">
        <f t="shared" ref="J133" si="14">IF($F$129&lt;=F133,1-0.33*($F$129/F133),1)</f>
        <v>1</v>
      </c>
      <c r="K133" s="135">
        <f t="shared" ref="K133" si="15">1/(1+4*EXP(-0.2133*F133))</f>
        <v>0.23631416596766189</v>
      </c>
      <c r="L133" s="135">
        <f>1/I133*SQRT(32*J133*K133*K102*IF(E133&lt;=0.5,$F$127,$F$128))</f>
        <v>333.71347409618897</v>
      </c>
      <c r="W133" s="76"/>
      <c r="X133" s="76"/>
    </row>
    <row r="134" spans="1:24" s="74" customFormat="1"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</row>
    <row r="135" spans="1:24">
      <c r="A135" s="17" t="s">
        <v>73</v>
      </c>
      <c r="H135" s="63"/>
    </row>
    <row r="136" spans="1:24">
      <c r="H136" s="63"/>
    </row>
    <row r="137" spans="1:24">
      <c r="H137" s="63"/>
    </row>
    <row r="138" spans="1:24">
      <c r="H138" s="63"/>
    </row>
    <row r="139" spans="1:24">
      <c r="H139" s="63"/>
    </row>
    <row r="140" spans="1:24">
      <c r="H140" s="63"/>
    </row>
    <row r="142" spans="1:24" s="31" customFormat="1" ht="27" customHeight="1">
      <c r="C142" s="202" t="str">
        <f>B$40</f>
        <v>Pozo de</v>
      </c>
      <c r="D142" s="202" t="str">
        <f>C$40</f>
        <v>Pozo a</v>
      </c>
      <c r="E142" s="202" t="s">
        <v>222</v>
      </c>
      <c r="F142" s="204" t="s">
        <v>204</v>
      </c>
      <c r="G142" s="202" t="s">
        <v>207</v>
      </c>
      <c r="H142" s="202" t="s">
        <v>206</v>
      </c>
      <c r="I142" s="202" t="s">
        <v>211</v>
      </c>
      <c r="J142" s="202" t="s">
        <v>230</v>
      </c>
      <c r="K142" s="202" t="s">
        <v>231</v>
      </c>
      <c r="W142" s="17"/>
      <c r="X142" s="17"/>
    </row>
    <row r="143" spans="1:24" s="74" customFormat="1">
      <c r="C143" s="135" t="str">
        <f>+B133</f>
        <v>CR-01</v>
      </c>
      <c r="D143" s="135">
        <f>+C133</f>
        <v>131765</v>
      </c>
      <c r="E143" s="135">
        <f>+D133</f>
        <v>7.5</v>
      </c>
      <c r="F143" s="135">
        <f>+E133</f>
        <v>0.2732</v>
      </c>
      <c r="G143" s="135">
        <f>+F133</f>
        <v>1</v>
      </c>
      <c r="H143" s="135">
        <f>+K41</f>
        <v>5.4639999999999995</v>
      </c>
      <c r="I143" s="135">
        <f>+L64</f>
        <v>30.668085065600948</v>
      </c>
      <c r="J143" s="135">
        <f>10*IF(G143&gt;$F$129,G143-$F$129,0)+(J133*H143/F143)+I143/F143</f>
        <v>132.25506978624065</v>
      </c>
      <c r="K143" s="135" t="str">
        <f>IF(J143&lt;L133,"OK","NO CUMPLE")</f>
        <v>OK</v>
      </c>
    </row>
    <row r="144" spans="1:24" s="74" customFormat="1" ht="11.25"/>
    <row r="145" spans="1:22">
      <c r="A145" s="64" t="s">
        <v>74</v>
      </c>
      <c r="B145" s="65"/>
      <c r="C145" s="65"/>
      <c r="D145" s="65"/>
      <c r="E145" s="65"/>
      <c r="F145" s="65"/>
      <c r="G145" s="65"/>
    </row>
    <row r="146" spans="1:22">
      <c r="A146" s="65"/>
      <c r="B146" s="65"/>
      <c r="C146" s="65"/>
      <c r="D146" s="65"/>
      <c r="E146" s="65"/>
      <c r="F146" s="65"/>
      <c r="G146" s="65"/>
    </row>
    <row r="147" spans="1:22">
      <c r="A147" s="65" t="s">
        <v>109</v>
      </c>
      <c r="B147" s="65"/>
      <c r="C147" s="65"/>
      <c r="D147" s="65"/>
      <c r="E147" s="65"/>
      <c r="F147" s="65"/>
      <c r="G147" s="65"/>
    </row>
    <row r="148" spans="1:22">
      <c r="A148" s="65"/>
      <c r="B148" s="65"/>
      <c r="C148" s="65"/>
      <c r="D148" s="65"/>
      <c r="E148" s="65"/>
      <c r="F148" s="65"/>
      <c r="G148" s="65"/>
    </row>
    <row r="149" spans="1:22">
      <c r="A149" s="1"/>
      <c r="B149" s="65"/>
      <c r="C149" s="65"/>
      <c r="D149" s="65"/>
      <c r="E149" s="65"/>
      <c r="F149" s="65"/>
      <c r="G149" s="65"/>
    </row>
    <row r="150" spans="1:22">
      <c r="A150" s="65"/>
      <c r="B150" s="65"/>
      <c r="C150" s="65"/>
      <c r="D150" s="65"/>
      <c r="E150" s="65"/>
      <c r="F150" s="65"/>
      <c r="G150" s="65"/>
    </row>
    <row r="151" spans="1:22">
      <c r="A151" s="65"/>
      <c r="B151" s="65"/>
      <c r="C151" s="65"/>
      <c r="D151" s="65"/>
      <c r="E151" s="65"/>
      <c r="F151" s="65"/>
      <c r="G151" s="65"/>
    </row>
    <row r="152" spans="1:22">
      <c r="A152" s="65" t="s">
        <v>2</v>
      </c>
      <c r="B152" s="65"/>
      <c r="C152" s="65"/>
      <c r="D152" s="65"/>
      <c r="E152" s="65"/>
      <c r="F152" s="65"/>
      <c r="G152" s="65"/>
    </row>
    <row r="153" spans="1:22" ht="13.5">
      <c r="A153" s="65"/>
      <c r="B153" s="66" t="s">
        <v>110</v>
      </c>
      <c r="C153" s="67" t="s">
        <v>75</v>
      </c>
      <c r="D153" s="67"/>
      <c r="E153" s="65"/>
      <c r="F153" s="65"/>
      <c r="G153" s="65"/>
    </row>
    <row r="154" spans="1:22">
      <c r="A154" s="65"/>
      <c r="B154" s="66" t="s">
        <v>26</v>
      </c>
      <c r="C154" s="67" t="s">
        <v>76</v>
      </c>
      <c r="D154" s="65"/>
      <c r="E154" s="65"/>
      <c r="F154" s="65"/>
      <c r="G154" s="65"/>
    </row>
    <row r="155" spans="1:22" ht="13.5">
      <c r="A155" s="65"/>
      <c r="B155" s="66" t="s">
        <v>77</v>
      </c>
      <c r="C155" s="65" t="s">
        <v>111</v>
      </c>
      <c r="D155" s="65"/>
      <c r="E155" s="65"/>
      <c r="F155" s="65"/>
      <c r="G155" s="65"/>
    </row>
    <row r="156" spans="1:22">
      <c r="A156" s="65"/>
      <c r="B156" s="65"/>
      <c r="C156" s="65"/>
      <c r="D156" s="65"/>
      <c r="E156" s="65"/>
      <c r="F156" s="65"/>
      <c r="G156" s="65"/>
    </row>
    <row r="157" spans="1:22" ht="14.25">
      <c r="A157" s="65" t="s">
        <v>112</v>
      </c>
      <c r="B157" s="65"/>
      <c r="C157" s="65"/>
      <c r="D157" s="65"/>
      <c r="E157" s="65"/>
      <c r="F157" s="65"/>
      <c r="G157" s="65"/>
    </row>
    <row r="158" spans="1:22">
      <c r="B158" s="65"/>
      <c r="C158" s="65"/>
      <c r="D158" s="65"/>
      <c r="E158" s="65"/>
      <c r="F158" s="65"/>
      <c r="G158" s="65"/>
      <c r="H158" s="65"/>
    </row>
    <row r="159" spans="1:22" ht="25.5">
      <c r="D159" s="149" t="str">
        <f>B40</f>
        <v>Pozo de</v>
      </c>
      <c r="E159" s="149" t="str">
        <f>C40</f>
        <v>Pozo a</v>
      </c>
      <c r="F159" s="202" t="str">
        <f>E40</f>
        <v>Diám Nominal (in)</v>
      </c>
      <c r="G159" s="202" t="s">
        <v>208</v>
      </c>
      <c r="H159" s="149" t="s">
        <v>212</v>
      </c>
      <c r="I159" s="150" t="s">
        <v>232</v>
      </c>
      <c r="J159" s="150" t="s">
        <v>233</v>
      </c>
      <c r="O159" s="199"/>
      <c r="P159" s="199"/>
      <c r="Q159" s="199"/>
      <c r="R159" s="199"/>
      <c r="S159" s="199"/>
      <c r="T159" s="199"/>
      <c r="U159" s="199"/>
      <c r="V159" s="199"/>
    </row>
    <row r="160" spans="1:22" s="74" customFormat="1">
      <c r="D160" s="151" t="str">
        <f>+C143</f>
        <v>CR-01</v>
      </c>
      <c r="E160" s="151">
        <f>+D143</f>
        <v>131765</v>
      </c>
      <c r="F160" s="151">
        <f>+E41</f>
        <v>10</v>
      </c>
      <c r="G160" s="152">
        <f>+F143</f>
        <v>0.2732</v>
      </c>
      <c r="H160" s="152">
        <f>+I143+H143</f>
        <v>36.132085065600947</v>
      </c>
      <c r="I160" s="152">
        <f t="shared" ref="I160" si="16">2*H160/(PI()*G160)</f>
        <v>84.196192421775123</v>
      </c>
      <c r="J160" s="152" t="str">
        <f t="shared" ref="J160" si="17">IF(I160&lt;67500,"OK","Falta")</f>
        <v>OK</v>
      </c>
    </row>
    <row r="161" spans="1:13" s="74" customFormat="1">
      <c r="D161" s="218"/>
      <c r="E161" s="218"/>
      <c r="F161" s="218"/>
      <c r="G161" s="219"/>
      <c r="H161" s="219"/>
      <c r="I161" s="219"/>
      <c r="J161" s="219"/>
    </row>
    <row r="162" spans="1:13" s="74" customFormat="1">
      <c r="A162" s="64" t="s">
        <v>240</v>
      </c>
    </row>
    <row r="163" spans="1:13" s="74" customFormat="1">
      <c r="A163" s="65"/>
    </row>
    <row r="164" spans="1:13" s="74" customFormat="1" ht="35.25" customHeight="1">
      <c r="A164" s="292" t="s">
        <v>379</v>
      </c>
      <c r="B164" s="292"/>
      <c r="C164" s="292"/>
      <c r="D164" s="292"/>
      <c r="E164" s="292"/>
      <c r="F164" s="292"/>
      <c r="G164" s="292"/>
      <c r="H164" s="292"/>
      <c r="I164" s="292"/>
      <c r="J164" s="292"/>
      <c r="K164" s="292"/>
      <c r="L164" s="292"/>
      <c r="M164" s="292"/>
    </row>
    <row r="165" spans="1:13" s="74" customFormat="1">
      <c r="A165" s="65"/>
    </row>
    <row r="166" spans="1:13" s="74" customFormat="1" ht="11.25" customHeight="1">
      <c r="D166" s="286" t="s">
        <v>125</v>
      </c>
      <c r="E166" s="286" t="s">
        <v>126</v>
      </c>
      <c r="F166" s="286" t="s">
        <v>134</v>
      </c>
      <c r="G166" s="279" t="s">
        <v>191</v>
      </c>
      <c r="H166" s="299" t="s">
        <v>135</v>
      </c>
      <c r="I166" s="286" t="s">
        <v>131</v>
      </c>
    </row>
    <row r="167" spans="1:13" s="74" customFormat="1" ht="11.25" customHeight="1">
      <c r="D167" s="287"/>
      <c r="E167" s="287"/>
      <c r="F167" s="287"/>
      <c r="G167" s="279"/>
      <c r="H167" s="300"/>
      <c r="I167" s="287"/>
    </row>
    <row r="168" spans="1:13" s="74" customFormat="1">
      <c r="D168" s="90" t="str">
        <f>+B64</f>
        <v>CR-01</v>
      </c>
      <c r="E168" s="90">
        <f>+C64</f>
        <v>131765</v>
      </c>
      <c r="F168" s="21">
        <f>+G64</f>
        <v>1</v>
      </c>
      <c r="G168" s="21">
        <f>+P41</f>
        <v>1.3732000000000002</v>
      </c>
      <c r="H168" s="153" t="str">
        <f t="shared" ref="H168" si="18">+IF(G168&gt;0.5,"NO","SI")</f>
        <v>NO</v>
      </c>
      <c r="I168" s="198" t="s">
        <v>380</v>
      </c>
    </row>
    <row r="170" spans="1:13">
      <c r="A170" s="64" t="s">
        <v>398</v>
      </c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</row>
    <row r="171" spans="1:13">
      <c r="A171" s="65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</row>
    <row r="172" spans="1:13">
      <c r="A172" s="17" t="s">
        <v>392</v>
      </c>
    </row>
    <row r="177" s="17" customFormat="1"/>
    <row r="178" s="17" customFormat="1"/>
    <row r="179" s="17" customFormat="1"/>
    <row r="180" s="17" customFormat="1"/>
    <row r="181" s="17" customFormat="1"/>
    <row r="182" s="17" customFormat="1"/>
    <row r="183" s="17" customFormat="1"/>
    <row r="184" s="17" customFormat="1"/>
    <row r="185" s="17" customFormat="1"/>
    <row r="186" s="17" customFormat="1"/>
    <row r="187" s="17" customFormat="1"/>
    <row r="188" s="17" customFormat="1"/>
    <row r="189" s="17" customFormat="1"/>
    <row r="190" s="17" customFormat="1"/>
    <row r="191" s="17" customFormat="1"/>
    <row r="192" s="17" customFormat="1"/>
    <row r="196" spans="2:13">
      <c r="B196" s="279" t="s">
        <v>128</v>
      </c>
      <c r="C196" s="279" t="s">
        <v>129</v>
      </c>
      <c r="D196" s="317" t="s">
        <v>48</v>
      </c>
      <c r="E196" s="317" t="s">
        <v>16</v>
      </c>
      <c r="F196" s="317" t="s">
        <v>134</v>
      </c>
      <c r="G196" s="279" t="s">
        <v>191</v>
      </c>
      <c r="H196" s="279" t="s">
        <v>393</v>
      </c>
      <c r="I196" s="279" t="s">
        <v>394</v>
      </c>
      <c r="J196" s="279" t="s">
        <v>395</v>
      </c>
      <c r="K196" s="279" t="s">
        <v>396</v>
      </c>
      <c r="L196" s="279" t="s">
        <v>397</v>
      </c>
    </row>
    <row r="197" spans="2:13">
      <c r="B197" s="279"/>
      <c r="C197" s="279"/>
      <c r="D197" s="317"/>
      <c r="E197" s="317"/>
      <c r="F197" s="317"/>
      <c r="G197" s="279"/>
      <c r="H197" s="279"/>
      <c r="I197" s="279"/>
      <c r="J197" s="279"/>
      <c r="K197" s="279"/>
      <c r="L197" s="279"/>
    </row>
    <row r="198" spans="2:13">
      <c r="B198" s="90" t="str">
        <f>+D168</f>
        <v>CR-01</v>
      </c>
      <c r="C198" s="90">
        <f>+E168</f>
        <v>131765</v>
      </c>
      <c r="D198" s="21">
        <f>+F143</f>
        <v>0.2732</v>
      </c>
      <c r="E198" s="21">
        <f>+G133</f>
        <v>1</v>
      </c>
      <c r="F198" s="21">
        <f>+F168</f>
        <v>1</v>
      </c>
      <c r="G198" s="21">
        <f>+G168</f>
        <v>1.3732000000000002</v>
      </c>
      <c r="H198" s="21">
        <v>0.1</v>
      </c>
      <c r="I198" s="21">
        <f>+D198*0.6</f>
        <v>0.16391999999999998</v>
      </c>
      <c r="J198" s="21">
        <f>(0.4*D198)+0.3</f>
        <v>0.40927999999999998</v>
      </c>
      <c r="K198" s="21">
        <f>G198-J198-I198-H198-L198</f>
        <v>0.20000000000000029</v>
      </c>
      <c r="L198" s="21">
        <v>0.5</v>
      </c>
    </row>
    <row r="201" spans="2:13">
      <c r="J201" s="199"/>
      <c r="K201" s="199"/>
      <c r="L201" s="199"/>
      <c r="M201" s="199"/>
    </row>
    <row r="202" spans="2:13">
      <c r="J202" s="199"/>
      <c r="K202" s="199"/>
      <c r="L202" s="199"/>
      <c r="M202" s="199"/>
    </row>
    <row r="203" spans="2:13">
      <c r="J203" s="199"/>
      <c r="K203" s="199"/>
      <c r="L203" s="199"/>
      <c r="M203" s="199"/>
    </row>
    <row r="206" spans="2:13">
      <c r="K206" s="17" t="s">
        <v>136</v>
      </c>
    </row>
  </sheetData>
  <autoFilter ref="A40:M41" xr:uid="{00000000-0001-0000-0400-000000000000}"/>
  <mergeCells count="34">
    <mergeCell ref="A164:M164"/>
    <mergeCell ref="D166:D167"/>
    <mergeCell ref="E166:E167"/>
    <mergeCell ref="F166:F167"/>
    <mergeCell ref="G166:G167"/>
    <mergeCell ref="H166:H167"/>
    <mergeCell ref="I166:I167"/>
    <mergeCell ref="S81:S82"/>
    <mergeCell ref="T81:AA81"/>
    <mergeCell ref="A104:M104"/>
    <mergeCell ref="A108:M109"/>
    <mergeCell ref="B131:B132"/>
    <mergeCell ref="C131:C132"/>
    <mergeCell ref="D131:D132"/>
    <mergeCell ref="E131:E132"/>
    <mergeCell ref="F131:F132"/>
    <mergeCell ref="A2:M2"/>
    <mergeCell ref="A3:M3"/>
    <mergeCell ref="C59:C61"/>
    <mergeCell ref="A68:M69"/>
    <mergeCell ref="I131:I132"/>
    <mergeCell ref="J131:J132"/>
    <mergeCell ref="K131:K132"/>
    <mergeCell ref="B196:B197"/>
    <mergeCell ref="C196:C197"/>
    <mergeCell ref="D196:D197"/>
    <mergeCell ref="E196:E197"/>
    <mergeCell ref="F196:F197"/>
    <mergeCell ref="L196:L197"/>
    <mergeCell ref="G196:G197"/>
    <mergeCell ref="H196:H197"/>
    <mergeCell ref="I196:I197"/>
    <mergeCell ref="J196:J197"/>
    <mergeCell ref="K196:K197"/>
  </mergeCells>
  <conditionalFormatting sqref="L102">
    <cfRule type="cellIs" dxfId="7" priority="1" stopIfTrue="1" operator="greaterThanOrEqual">
      <formula>5</formula>
    </cfRule>
  </conditionalFormatting>
  <printOptions horizontalCentered="1"/>
  <pageMargins left="0.78740157480314965" right="0.78740157480314965" top="1.1811023622047245" bottom="1.1811023622047245" header="0.78740157480314965" footer="0.78740157480314965"/>
  <pageSetup scale="61" fitToHeight="0" orientation="portrait" r:id="rId1"/>
  <rowBreaks count="2" manualBreakCount="2">
    <brk id="65" max="12" man="1"/>
    <brk id="134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40</vt:i4>
      </vt:variant>
    </vt:vector>
  </HeadingPairs>
  <TitlesOfParts>
    <vt:vector size="58" baseType="lpstr">
      <vt:lpstr>C.P. 20J</vt:lpstr>
      <vt:lpstr>Flexible - 20 julio</vt:lpstr>
      <vt:lpstr>C.P. La Victoria</vt:lpstr>
      <vt:lpstr>Flexible - La Vict</vt:lpstr>
      <vt:lpstr>C.P. Altamira</vt:lpstr>
      <vt:lpstr>Flexible - Altamira</vt:lpstr>
      <vt:lpstr>Flexible - D P15</vt:lpstr>
      <vt:lpstr>Flexible - D P20</vt:lpstr>
      <vt:lpstr>Flexible - D P3</vt:lpstr>
      <vt:lpstr>Flexible - D P4</vt:lpstr>
      <vt:lpstr>Flexible - D P5</vt:lpstr>
      <vt:lpstr>Flexible - D P6</vt:lpstr>
      <vt:lpstr>Flexible - D P8</vt:lpstr>
      <vt:lpstr>Flexible - D P14</vt:lpstr>
      <vt:lpstr>Flexible - D P19</vt:lpstr>
      <vt:lpstr>Flexible - D P21</vt:lpstr>
      <vt:lpstr>Bd</vt:lpstr>
      <vt:lpstr>Especificaciones</vt:lpstr>
      <vt:lpstr>'C.P. 20J'!Alt</vt:lpstr>
      <vt:lpstr>'C.P. Altamira'!Alt</vt:lpstr>
      <vt:lpstr>'C.P. La Victoria'!Alt</vt:lpstr>
      <vt:lpstr>'C.P. 20J'!Área_de_impresión</vt:lpstr>
      <vt:lpstr>'C.P. Altamira'!Área_de_impresión</vt:lpstr>
      <vt:lpstr>'C.P. La Victoria'!Área_de_impresión</vt:lpstr>
      <vt:lpstr>'Flexible - 20 julio'!Área_de_impresión</vt:lpstr>
      <vt:lpstr>'Flexible - Altamira'!Área_de_impresión</vt:lpstr>
      <vt:lpstr>'Flexible - D P14'!Área_de_impresión</vt:lpstr>
      <vt:lpstr>'Flexible - D P15'!Área_de_impresión</vt:lpstr>
      <vt:lpstr>'Flexible - D P19'!Área_de_impresión</vt:lpstr>
      <vt:lpstr>'Flexible - D P20'!Área_de_impresión</vt:lpstr>
      <vt:lpstr>'Flexible - D P21'!Área_de_impresión</vt:lpstr>
      <vt:lpstr>'Flexible - D P3'!Área_de_impresión</vt:lpstr>
      <vt:lpstr>'Flexible - D P4'!Área_de_impresión</vt:lpstr>
      <vt:lpstr>'Flexible - D P5'!Área_de_impresión</vt:lpstr>
      <vt:lpstr>'Flexible - D P6'!Área_de_impresión</vt:lpstr>
      <vt:lpstr>'Flexible - D P8'!Área_de_impresión</vt:lpstr>
      <vt:lpstr>'Flexible - La Vict'!Área_de_impresión</vt:lpstr>
      <vt:lpstr>'C.P. 20J'!Bd</vt:lpstr>
      <vt:lpstr>'C.P. Altamira'!Bd</vt:lpstr>
      <vt:lpstr>'C.P. La Victoria'!Bd</vt:lpstr>
      <vt:lpstr>'C.P. Altamira'!CU</vt:lpstr>
      <vt:lpstr>'C.P. La Victoria'!CU</vt:lpstr>
      <vt:lpstr>'C.P. 20J'!Títulos_a_imprimir</vt:lpstr>
      <vt:lpstr>'C.P. Altamira'!Títulos_a_imprimir</vt:lpstr>
      <vt:lpstr>'C.P. La Victoria'!Títulos_a_imprimir</vt:lpstr>
      <vt:lpstr>'Flexible - 20 julio'!Títulos_a_imprimir</vt:lpstr>
      <vt:lpstr>'Flexible - Altamira'!Títulos_a_imprimir</vt:lpstr>
      <vt:lpstr>'Flexible - D P14'!Títulos_a_imprimir</vt:lpstr>
      <vt:lpstr>'Flexible - D P15'!Títulos_a_imprimir</vt:lpstr>
      <vt:lpstr>'Flexible - D P19'!Títulos_a_imprimir</vt:lpstr>
      <vt:lpstr>'Flexible - D P20'!Títulos_a_imprimir</vt:lpstr>
      <vt:lpstr>'Flexible - D P21'!Títulos_a_imprimir</vt:lpstr>
      <vt:lpstr>'Flexible - D P3'!Títulos_a_imprimir</vt:lpstr>
      <vt:lpstr>'Flexible - D P4'!Títulos_a_imprimir</vt:lpstr>
      <vt:lpstr>'Flexible - D P5'!Títulos_a_imprimir</vt:lpstr>
      <vt:lpstr>'Flexible - D P6'!Títulos_a_imprimir</vt:lpstr>
      <vt:lpstr>'Flexible - D P8'!Títulos_a_imprimir</vt:lpstr>
      <vt:lpstr>'Flexible - La Vict'!Títulos_a_imprimir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Alfonso Uribe S y Cía Ltda.</dc:creator>
  <cp:lastModifiedBy>Abelino García Guacaneme</cp:lastModifiedBy>
  <cp:lastPrinted>2022-02-04T21:42:28Z</cp:lastPrinted>
  <dcterms:created xsi:type="dcterms:W3CDTF">2005-01-20T20:28:10Z</dcterms:created>
  <dcterms:modified xsi:type="dcterms:W3CDTF">2022-03-14T13:38:09Z</dcterms:modified>
</cp:coreProperties>
</file>