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embeddings/oleObject3.bin" ContentType="application/vnd.openxmlformats-officedocument.oleObject"/>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NASROCH\ROCH Consultoria\062-CABLE AEREO SAN CRISTOBAL\3.DOCUMENTOS\HSGI\2.MEMORIAS\Diseño\"/>
    </mc:Choice>
  </mc:AlternateContent>
  <xr:revisionPtr revIDLastSave="0" documentId="13_ncr:1_{A7E02581-133F-4DB1-AE9D-C45EE242495A}" xr6:coauthVersionLast="47" xr6:coauthVersionMax="47" xr10:uidLastSave="{00000000-0000-0000-0000-000000000000}"/>
  <bookViews>
    <workbookView xWindow="-120" yWindow="-120" windowWidth="29040" windowHeight="15840" firstSheet="2" activeTab="3" xr2:uid="{00000000-000D-0000-FFFF-FFFF00000000}"/>
  </bookViews>
  <sheets>
    <sheet name="TABLAS" sheetId="4" state="hidden" r:id="rId1"/>
    <sheet name="ÍNDICE" sheetId="5" state="hidden" r:id="rId2"/>
    <sheet name="VOL. TANQUE (UNICO)" sheetId="3" r:id="rId3"/>
    <sheet name="RUTA CRÍTICA" sheetId="1" r:id="rId4"/>
    <sheet name="C.D.T." sheetId="2" state="hidden" r:id="rId5"/>
    <sheet name="RUTA CRÍTICA (REG)" sheetId="6" state="hidden" r:id="rId6"/>
    <sheet name="VRP CTO BOMBAS" sheetId="7" state="hidden" r:id="rId7"/>
  </sheets>
  <externalReferences>
    <externalReference r:id="rId8"/>
  </externalReferences>
  <definedNames>
    <definedName name="_Toc333269347" localSheetId="1">ÍNDICE!$E$20</definedName>
    <definedName name="_xlnm.Print_Area" localSheetId="4">'C.D.T.'!$A$1:$O$53</definedName>
    <definedName name="_xlnm.Print_Area" localSheetId="1">ÍNDICE!$B$1:$P$43</definedName>
    <definedName name="_xlnm.Print_Area" localSheetId="3">'RUTA CRÍTICA'!$A$1:$R$44</definedName>
    <definedName name="_xlnm.Print_Area" localSheetId="5">'RUTA CRÍTICA (REG)'!$A$1:$S$34</definedName>
    <definedName name="_xlnm.Print_Area" localSheetId="2">'VOL. TANQUE (UNICO)'!$A$1:$N$34</definedName>
    <definedName name="_xlnm.Print_Area" localSheetId="6">'VRP CTO BOMBAS'!$A$1:$O$45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3" l="1"/>
  <c r="H24" i="3" s="1"/>
  <c r="AD19" i="1" l="1"/>
  <c r="AB26" i="1"/>
  <c r="AB24" i="1"/>
  <c r="AB23" i="1"/>
  <c r="AB22" i="1"/>
  <c r="AB21" i="1"/>
  <c r="AB20" i="1"/>
  <c r="AB19" i="1"/>
  <c r="AB18" i="1"/>
  <c r="AB17" i="1"/>
  <c r="AB16" i="1"/>
  <c r="M12" i="2" l="1"/>
  <c r="P11" i="2"/>
  <c r="V41" i="1" l="1"/>
  <c r="K28" i="1" l="1"/>
  <c r="L32" i="4"/>
  <c r="L33" i="4"/>
  <c r="L34" i="4"/>
  <c r="L35" i="4"/>
  <c r="L36" i="4"/>
  <c r="L37" i="4"/>
  <c r="L38" i="4"/>
  <c r="L39" i="4"/>
  <c r="L40" i="4"/>
  <c r="L41" i="4"/>
  <c r="L42" i="4"/>
  <c r="L43" i="4"/>
  <c r="L44" i="4"/>
  <c r="L45" i="4"/>
  <c r="L46" i="4"/>
  <c r="L47" i="4"/>
  <c r="L48" i="4"/>
  <c r="L49" i="4"/>
  <c r="H3" i="1" l="1"/>
  <c r="Q8" i="6"/>
  <c r="H3" i="6"/>
  <c r="C37" i="1" l="1"/>
  <c r="M36" i="1"/>
  <c r="N36" i="1" s="1"/>
  <c r="G36" i="1"/>
  <c r="C36" i="1"/>
  <c r="C29" i="6"/>
  <c r="M28" i="6"/>
  <c r="N28" i="6" s="1"/>
  <c r="G28" i="6"/>
  <c r="C20" i="6"/>
  <c r="M19" i="6"/>
  <c r="N19" i="6" s="1"/>
  <c r="G19" i="6"/>
  <c r="M15" i="1" l="1"/>
  <c r="K30" i="6"/>
  <c r="F30" i="6"/>
  <c r="K21" i="6"/>
  <c r="F21" i="6"/>
  <c r="K38" i="1"/>
  <c r="F38" i="1"/>
  <c r="F28" i="1"/>
  <c r="M29" i="6"/>
  <c r="N29" i="6" s="1"/>
  <c r="G29" i="6"/>
  <c r="M27" i="6"/>
  <c r="N27" i="6" s="1"/>
  <c r="G27" i="6"/>
  <c r="M26" i="6"/>
  <c r="N26" i="6" s="1"/>
  <c r="G26" i="6"/>
  <c r="M25" i="6"/>
  <c r="N25" i="6" s="1"/>
  <c r="G25" i="6"/>
  <c r="M24" i="6"/>
  <c r="N24" i="6" s="1"/>
  <c r="G24" i="6"/>
  <c r="D24" i="6"/>
  <c r="C25" i="6" s="1"/>
  <c r="D25" i="6" s="1"/>
  <c r="C26" i="6" s="1"/>
  <c r="D26" i="6" s="1"/>
  <c r="M20" i="6"/>
  <c r="N20" i="6" s="1"/>
  <c r="G20" i="6"/>
  <c r="M18" i="6"/>
  <c r="N18" i="6" s="1"/>
  <c r="G18" i="6"/>
  <c r="M17" i="6"/>
  <c r="N17" i="6" s="1"/>
  <c r="G17" i="6"/>
  <c r="M16" i="6"/>
  <c r="N16" i="6" s="1"/>
  <c r="G16" i="6"/>
  <c r="M15" i="6"/>
  <c r="N15" i="6" s="1"/>
  <c r="G15" i="6"/>
  <c r="D15" i="6"/>
  <c r="C16" i="6" s="1"/>
  <c r="D16" i="6" s="1"/>
  <c r="C17" i="6" s="1"/>
  <c r="D17" i="6" s="1"/>
  <c r="C27" i="6" l="1"/>
  <c r="D27" i="6" s="1"/>
  <c r="C28" i="6" s="1"/>
  <c r="N30" i="6"/>
  <c r="G30" i="6"/>
  <c r="C18" i="6"/>
  <c r="D18" i="6" s="1"/>
  <c r="N21" i="6"/>
  <c r="G21" i="6"/>
  <c r="M35" i="1" l="1"/>
  <c r="N35" i="1" s="1"/>
  <c r="G35" i="1"/>
  <c r="M34" i="1"/>
  <c r="N34" i="1" s="1"/>
  <c r="G34" i="1"/>
  <c r="M33" i="1"/>
  <c r="N33" i="1" s="1"/>
  <c r="G33" i="1"/>
  <c r="M32" i="1"/>
  <c r="N32" i="1" s="1"/>
  <c r="G32" i="1"/>
  <c r="M31" i="1"/>
  <c r="N31" i="1" s="1"/>
  <c r="G31" i="1"/>
  <c r="D31" i="1"/>
  <c r="C32" i="1" s="1"/>
  <c r="D32" i="1" s="1"/>
  <c r="C33" i="1" s="1"/>
  <c r="D33" i="1" s="1"/>
  <c r="C34" i="1" s="1"/>
  <c r="D34" i="1" s="1"/>
  <c r="C35" i="1" s="1"/>
  <c r="S21" i="7"/>
  <c r="S22" i="7" s="1"/>
  <c r="S23" i="7" s="1"/>
  <c r="S24" i="7" s="1"/>
  <c r="S25" i="7" s="1"/>
  <c r="S26" i="7" s="1"/>
  <c r="S27" i="7" s="1"/>
  <c r="S28" i="7" s="1"/>
  <c r="T21" i="7"/>
  <c r="T20" i="7"/>
  <c r="R21" i="7"/>
  <c r="R22" i="7" s="1"/>
  <c r="R23" i="7" s="1"/>
  <c r="R24" i="7" s="1"/>
  <c r="R25" i="7" s="1"/>
  <c r="R26" i="7" s="1"/>
  <c r="R27" i="7" s="1"/>
  <c r="R28" i="7" s="1"/>
  <c r="R29" i="7" s="1"/>
  <c r="R30" i="7" s="1"/>
  <c r="R31" i="7" s="1"/>
  <c r="S29" i="7" l="1"/>
  <c r="T28" i="7"/>
  <c r="T27" i="7"/>
  <c r="T26" i="7"/>
  <c r="T25" i="7"/>
  <c r="T24" i="7"/>
  <c r="T23" i="7"/>
  <c r="T22" i="7"/>
  <c r="T29" i="7" l="1"/>
  <c r="S30" i="7"/>
  <c r="S31" i="7" l="1"/>
  <c r="T31" i="7" s="1"/>
  <c r="T30" i="7"/>
  <c r="Q13" i="7" l="1"/>
  <c r="I10" i="7"/>
  <c r="L10" i="7" s="1"/>
  <c r="E21" i="7" s="1"/>
  <c r="N4" i="7"/>
  <c r="U14" i="6" l="1"/>
  <c r="I27" i="2" l="1"/>
  <c r="I29" i="2" s="1"/>
  <c r="Q27" i="2"/>
  <c r="R27" i="2" s="1"/>
  <c r="G16" i="1" l="1"/>
  <c r="G37" i="1"/>
  <c r="G38" i="1" s="1"/>
  <c r="G15" i="1"/>
  <c r="G28" i="1" l="1"/>
  <c r="E33" i="2" s="1"/>
  <c r="L33" i="2" s="1"/>
  <c r="V14" i="1"/>
  <c r="M37" i="1" l="1"/>
  <c r="N37" i="1" s="1"/>
  <c r="N38" i="1" s="1"/>
  <c r="N8" i="2" l="1"/>
  <c r="U22" i="6"/>
  <c r="N15" i="1"/>
  <c r="U23" i="6" l="1"/>
  <c r="M16" i="1"/>
  <c r="N16" i="1" s="1"/>
  <c r="N28" i="1" l="1"/>
  <c r="D15" i="1"/>
  <c r="K49" i="4"/>
  <c r="J49" i="4"/>
  <c r="I49" i="4"/>
  <c r="G49" i="4"/>
  <c r="F49" i="4"/>
  <c r="E49" i="4"/>
  <c r="D49" i="4"/>
  <c r="C49" i="4"/>
  <c r="B49" i="4"/>
  <c r="K48" i="4"/>
  <c r="J48" i="4"/>
  <c r="I48" i="4"/>
  <c r="G48" i="4"/>
  <c r="F48" i="4"/>
  <c r="E48" i="4"/>
  <c r="D48" i="4"/>
  <c r="C48" i="4"/>
  <c r="B48" i="4"/>
  <c r="K47" i="4"/>
  <c r="J47" i="4"/>
  <c r="I47" i="4"/>
  <c r="G47" i="4"/>
  <c r="F47" i="4"/>
  <c r="E47" i="4"/>
  <c r="D47" i="4"/>
  <c r="C47" i="4"/>
  <c r="B47" i="4"/>
  <c r="K46" i="4"/>
  <c r="J46" i="4"/>
  <c r="I46" i="4"/>
  <c r="G46" i="4"/>
  <c r="F46" i="4"/>
  <c r="E46" i="4"/>
  <c r="D46" i="4"/>
  <c r="C46" i="4"/>
  <c r="B46" i="4"/>
  <c r="K45" i="4"/>
  <c r="J45" i="4"/>
  <c r="I45" i="4"/>
  <c r="G45" i="4"/>
  <c r="F45" i="4"/>
  <c r="E45" i="4"/>
  <c r="D45" i="4"/>
  <c r="C45" i="4"/>
  <c r="B45" i="4"/>
  <c r="K44" i="4"/>
  <c r="J44" i="4"/>
  <c r="I44" i="4"/>
  <c r="G44" i="4"/>
  <c r="F44" i="4"/>
  <c r="E44" i="4"/>
  <c r="D44" i="4"/>
  <c r="C44" i="4"/>
  <c r="B44" i="4"/>
  <c r="K43" i="4"/>
  <c r="J43" i="4"/>
  <c r="I43" i="4"/>
  <c r="G43" i="4"/>
  <c r="F43" i="4"/>
  <c r="E43" i="4"/>
  <c r="D43" i="4"/>
  <c r="C43" i="4"/>
  <c r="B43" i="4"/>
  <c r="K42" i="4"/>
  <c r="J42" i="4"/>
  <c r="I42" i="4"/>
  <c r="G42" i="4"/>
  <c r="F42" i="4"/>
  <c r="E42" i="4"/>
  <c r="D42" i="4"/>
  <c r="C42" i="4"/>
  <c r="B42" i="4"/>
  <c r="K41" i="4"/>
  <c r="J41" i="4"/>
  <c r="I41" i="4"/>
  <c r="G41" i="4"/>
  <c r="F41" i="4"/>
  <c r="E41" i="4"/>
  <c r="D41" i="4"/>
  <c r="C41" i="4"/>
  <c r="B41" i="4"/>
  <c r="K40" i="4"/>
  <c r="J40" i="4"/>
  <c r="I40" i="4"/>
  <c r="H40" i="4"/>
  <c r="G40" i="4"/>
  <c r="F40" i="4"/>
  <c r="E40" i="4"/>
  <c r="D40" i="4"/>
  <c r="C40" i="4"/>
  <c r="B40" i="4"/>
  <c r="K39" i="4"/>
  <c r="J39" i="4"/>
  <c r="I39" i="4"/>
  <c r="H39" i="4"/>
  <c r="G39" i="4"/>
  <c r="F39" i="4"/>
  <c r="E39" i="4"/>
  <c r="D39" i="4"/>
  <c r="C39" i="4"/>
  <c r="B39" i="4"/>
  <c r="K38" i="4"/>
  <c r="J38" i="4"/>
  <c r="I38" i="4"/>
  <c r="H38" i="4"/>
  <c r="G38" i="4"/>
  <c r="F38" i="4"/>
  <c r="E38" i="4"/>
  <c r="D38" i="4"/>
  <c r="C38" i="4"/>
  <c r="B38" i="4"/>
  <c r="K37" i="4"/>
  <c r="J37" i="4"/>
  <c r="H37" i="4"/>
  <c r="G37" i="4"/>
  <c r="F37" i="4"/>
  <c r="E37" i="4"/>
  <c r="D37" i="4"/>
  <c r="C37" i="4"/>
  <c r="B37" i="4"/>
  <c r="K36" i="4"/>
  <c r="J36" i="4"/>
  <c r="H36" i="4"/>
  <c r="G36" i="4"/>
  <c r="F36" i="4"/>
  <c r="E36" i="4"/>
  <c r="D36" i="4"/>
  <c r="C36" i="4"/>
  <c r="B36" i="4"/>
  <c r="K35" i="4"/>
  <c r="J35" i="4"/>
  <c r="H35" i="4"/>
  <c r="G35" i="4"/>
  <c r="F35" i="4"/>
  <c r="E35" i="4"/>
  <c r="D35" i="4"/>
  <c r="C35" i="4"/>
  <c r="B35" i="4"/>
  <c r="K34" i="4"/>
  <c r="J34" i="4"/>
  <c r="H34" i="4"/>
  <c r="G34" i="4"/>
  <c r="F34" i="4"/>
  <c r="E34" i="4"/>
  <c r="D34" i="4"/>
  <c r="C34" i="4"/>
  <c r="B34" i="4"/>
  <c r="K33" i="4"/>
  <c r="J33" i="4"/>
  <c r="I33" i="4"/>
  <c r="H33" i="4"/>
  <c r="G33" i="4"/>
  <c r="F33" i="4"/>
  <c r="E33" i="4"/>
  <c r="D33" i="4"/>
  <c r="C33" i="4"/>
  <c r="B33" i="4"/>
  <c r="K32" i="4"/>
  <c r="J32" i="4"/>
  <c r="I32" i="4"/>
  <c r="H32" i="4"/>
  <c r="G32" i="4"/>
  <c r="F32" i="4"/>
  <c r="E32" i="4"/>
  <c r="D32" i="4"/>
  <c r="C32" i="4"/>
  <c r="B32" i="4"/>
  <c r="H24" i="4"/>
  <c r="H49" i="4" s="1"/>
  <c r="H23" i="4"/>
  <c r="H48" i="4" s="1"/>
  <c r="H22" i="4"/>
  <c r="H47" i="4" s="1"/>
  <c r="H21" i="4"/>
  <c r="H46" i="4" s="1"/>
  <c r="H20" i="4"/>
  <c r="H45" i="4" s="1"/>
  <c r="H19" i="4"/>
  <c r="H44" i="4" s="1"/>
  <c r="H18" i="4"/>
  <c r="H43" i="4" s="1"/>
  <c r="H17" i="4"/>
  <c r="H42" i="4" s="1"/>
  <c r="H16" i="4"/>
  <c r="H41" i="4" s="1"/>
  <c r="I12" i="4"/>
  <c r="I37" i="4" s="1"/>
  <c r="I11" i="4"/>
  <c r="I36" i="4" s="1"/>
  <c r="I10" i="4"/>
  <c r="I35" i="4" s="1"/>
  <c r="I9" i="4"/>
  <c r="I34" i="4" s="1"/>
  <c r="I36" i="1" l="1"/>
  <c r="I28" i="6"/>
  <c r="I19" i="6"/>
  <c r="I24" i="6"/>
  <c r="I15" i="6"/>
  <c r="I29" i="6"/>
  <c r="I16" i="6"/>
  <c r="I18" i="6"/>
  <c r="I20" i="6"/>
  <c r="I27" i="6"/>
  <c r="I26" i="6"/>
  <c r="I17" i="6"/>
  <c r="I25" i="6"/>
  <c r="I35" i="1"/>
  <c r="I33" i="1"/>
  <c r="I34" i="1"/>
  <c r="I32" i="1"/>
  <c r="I31" i="1"/>
  <c r="C16" i="1"/>
  <c r="D16" i="1" s="1"/>
  <c r="I37" i="1"/>
  <c r="I16" i="1"/>
  <c r="I15" i="1"/>
  <c r="O33" i="1" l="1"/>
  <c r="P33" i="1" s="1"/>
  <c r="J33" i="1"/>
  <c r="O35" i="1"/>
  <c r="P35" i="1" s="1"/>
  <c r="J35" i="1"/>
  <c r="O25" i="6"/>
  <c r="P25" i="6" s="1"/>
  <c r="J25" i="6"/>
  <c r="O31" i="1"/>
  <c r="P31" i="1" s="1"/>
  <c r="Q31" i="1" s="1"/>
  <c r="J31" i="1"/>
  <c r="O17" i="6"/>
  <c r="P17" i="6" s="1"/>
  <c r="J17" i="6"/>
  <c r="O32" i="1"/>
  <c r="P32" i="1" s="1"/>
  <c r="J32" i="1"/>
  <c r="J26" i="6"/>
  <c r="O26" i="6"/>
  <c r="P26" i="6" s="1"/>
  <c r="J27" i="6"/>
  <c r="O27" i="6"/>
  <c r="P27" i="6" s="1"/>
  <c r="J20" i="6"/>
  <c r="O20" i="6"/>
  <c r="P20" i="6" s="1"/>
  <c r="J18" i="6"/>
  <c r="O18" i="6"/>
  <c r="P18" i="6" s="1"/>
  <c r="O16" i="6"/>
  <c r="P16" i="6" s="1"/>
  <c r="J16" i="6"/>
  <c r="O29" i="6"/>
  <c r="P29" i="6" s="1"/>
  <c r="J29" i="6"/>
  <c r="J15" i="6"/>
  <c r="O15" i="6"/>
  <c r="P15" i="6" s="1"/>
  <c r="J24" i="6"/>
  <c r="O24" i="6"/>
  <c r="P24" i="6" s="1"/>
  <c r="O19" i="6"/>
  <c r="P19" i="6" s="1"/>
  <c r="J19" i="6"/>
  <c r="O28" i="6"/>
  <c r="P28" i="6" s="1"/>
  <c r="J28" i="6"/>
  <c r="O34" i="1"/>
  <c r="P34" i="1" s="1"/>
  <c r="J34" i="1"/>
  <c r="O36" i="1"/>
  <c r="P36" i="1" s="1"/>
  <c r="J36" i="1"/>
  <c r="J37" i="1"/>
  <c r="O37" i="1"/>
  <c r="P37" i="1" s="1"/>
  <c r="O16" i="1"/>
  <c r="P16" i="1" s="1"/>
  <c r="J16" i="1"/>
  <c r="J15" i="1"/>
  <c r="O15" i="1"/>
  <c r="P15" i="1" s="1"/>
  <c r="Q32" i="1" l="1"/>
  <c r="V33" i="1" s="1"/>
  <c r="Q24" i="6"/>
  <c r="P30" i="6"/>
  <c r="Q15" i="6"/>
  <c r="P21" i="6"/>
  <c r="P38" i="1"/>
  <c r="O8" i="1"/>
  <c r="Q33" i="1" l="1"/>
  <c r="Q34" i="1" s="1"/>
  <c r="Q16" i="6"/>
  <c r="U15" i="6"/>
  <c r="U24" i="6"/>
  <c r="Q25" i="6"/>
  <c r="G48" i="2"/>
  <c r="L8" i="2"/>
  <c r="V34" i="1" l="1"/>
  <c r="Q26" i="6"/>
  <c r="U25" i="6"/>
  <c r="Q17" i="6"/>
  <c r="U16" i="6"/>
  <c r="Q35" i="1"/>
  <c r="V35" i="1"/>
  <c r="L4" i="7"/>
  <c r="E47" i="2"/>
  <c r="Q50" i="2" s="1"/>
  <c r="Q36" i="1" l="1"/>
  <c r="V36" i="1"/>
  <c r="Q18" i="6"/>
  <c r="U17" i="6"/>
  <c r="Q27" i="6"/>
  <c r="U26" i="6"/>
  <c r="L35" i="2"/>
  <c r="L37" i="2" s="1"/>
  <c r="Q19" i="6" l="1"/>
  <c r="U18" i="6"/>
  <c r="Q28" i="6"/>
  <c r="U27" i="6"/>
  <c r="V37" i="1"/>
  <c r="Q37" i="1"/>
  <c r="V38" i="1" s="1"/>
  <c r="P28" i="1"/>
  <c r="Q29" i="6" l="1"/>
  <c r="U29" i="6" s="1"/>
  <c r="U28" i="6"/>
  <c r="Q20" i="6"/>
  <c r="U19" i="6"/>
  <c r="Q15" i="1"/>
  <c r="Q16" i="1" l="1"/>
  <c r="U20" i="6"/>
  <c r="I11" i="7"/>
  <c r="L11" i="7" s="1"/>
  <c r="V15" i="1"/>
  <c r="V17" i="1" l="1"/>
  <c r="V16" i="1"/>
  <c r="V18" i="1" l="1"/>
  <c r="V19" i="1" l="1"/>
  <c r="V32" i="1"/>
  <c r="V31" i="1"/>
  <c r="V20" i="1" l="1"/>
  <c r="V21" i="1" l="1"/>
  <c r="V22" i="1" l="1"/>
  <c r="V23" i="1" l="1"/>
  <c r="V24" i="1" l="1"/>
  <c r="V27" i="1" l="1"/>
  <c r="V25" i="1"/>
  <c r="V26" i="1" l="1"/>
  <c r="L20" i="2" l="1"/>
  <c r="L39" i="2" s="1"/>
  <c r="L41" i="2" s="1"/>
  <c r="V28" i="1"/>
  <c r="W28" i="1" s="1"/>
  <c r="Q41" i="2" l="1"/>
  <c r="R41" i="2" s="1"/>
  <c r="S41" i="2" s="1"/>
  <c r="I47" i="2"/>
  <c r="M47" i="2" s="1"/>
  <c r="I12" i="7"/>
  <c r="L12" i="7" s="1"/>
  <c r="G31" i="7" s="1"/>
  <c r="H40" i="7" s="1"/>
  <c r="G4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Preferred Customer</author>
  </authors>
  <commentList>
    <comment ref="E15" authorId="0" shapeId="0" xr:uid="{00000000-0006-0000-0300-000001000000}">
      <text>
        <r>
          <rPr>
            <b/>
            <sz val="10"/>
            <color indexed="81"/>
            <rFont val="Tahoma"/>
            <family val="2"/>
          </rPr>
          <t>AG-SCH40
AG-SCH80
CU-K
CU-L
CU-M
PVCP
CPVC</t>
        </r>
      </text>
    </comment>
    <comment ref="E16" authorId="0" shapeId="0" xr:uid="{00000000-0006-0000-0300-000002000000}">
      <text>
        <r>
          <rPr>
            <b/>
            <sz val="10"/>
            <color indexed="81"/>
            <rFont val="Tahoma"/>
            <family val="2"/>
          </rPr>
          <t>AG-SCH40
AG-SCH80
CU-K
CU-L
CU-M
PVCP
CPVC</t>
        </r>
      </text>
    </comment>
    <comment ref="E17" authorId="0" shapeId="0" xr:uid="{70CF7187-D98A-432B-9DD5-A37249BC4415}">
      <text>
        <r>
          <rPr>
            <b/>
            <sz val="10"/>
            <color indexed="81"/>
            <rFont val="Tahoma"/>
            <family val="2"/>
          </rPr>
          <t>AG-SCH40
AG-SCH80
CU-K
CU-L
CU-M
PVCP
CPVC</t>
        </r>
      </text>
    </comment>
    <comment ref="E18" authorId="0" shapeId="0" xr:uid="{F3330986-D579-4E08-97BB-19CEEFF4CE38}">
      <text>
        <r>
          <rPr>
            <b/>
            <sz val="10"/>
            <color indexed="81"/>
            <rFont val="Tahoma"/>
            <family val="2"/>
          </rPr>
          <t>AG-SCH40
AG-SCH80
CU-K
CU-L
CU-M
PVCP
CPVC</t>
        </r>
      </text>
    </comment>
    <comment ref="E19" authorId="0" shapeId="0" xr:uid="{21DE4AE7-3493-457A-9DEA-7975C872B59E}">
      <text>
        <r>
          <rPr>
            <b/>
            <sz val="10"/>
            <color indexed="81"/>
            <rFont val="Tahoma"/>
            <family val="2"/>
          </rPr>
          <t>AG-SCH40
AG-SCH80
CU-K
CU-L
CU-M
PVCP
CPVC</t>
        </r>
      </text>
    </comment>
    <comment ref="E20" authorId="0" shapeId="0" xr:uid="{27A8B68D-4DAA-45F1-AEFA-486CB478CA6F}">
      <text>
        <r>
          <rPr>
            <b/>
            <sz val="10"/>
            <color indexed="81"/>
            <rFont val="Tahoma"/>
            <family val="2"/>
          </rPr>
          <t>AG-SCH40
AG-SCH80
CU-K
CU-L
CU-M
PVCP
CPVC</t>
        </r>
      </text>
    </comment>
    <comment ref="E21" authorId="0" shapeId="0" xr:uid="{A1D48B76-4F54-447F-9E6B-D217B0F5EBA2}">
      <text>
        <r>
          <rPr>
            <b/>
            <sz val="10"/>
            <color indexed="81"/>
            <rFont val="Tahoma"/>
            <family val="2"/>
          </rPr>
          <t>AG-SCH40
AG-SCH80
CU-K
CU-L
CU-M
PVCP
CPVC</t>
        </r>
      </text>
    </comment>
    <comment ref="E22" authorId="0" shapeId="0" xr:uid="{C2435B3C-AF04-4BCE-A81F-34CFE5228610}">
      <text>
        <r>
          <rPr>
            <b/>
            <sz val="10"/>
            <color indexed="81"/>
            <rFont val="Tahoma"/>
            <family val="2"/>
          </rPr>
          <t>AG-SCH40
AG-SCH80
CU-K
CU-L
CU-M
PVCP
CPVC</t>
        </r>
      </text>
    </comment>
    <comment ref="E23" authorId="0" shapeId="0" xr:uid="{7D8646ED-3C7F-4456-A4E2-4B93598CC6EE}">
      <text>
        <r>
          <rPr>
            <b/>
            <sz val="10"/>
            <color indexed="81"/>
            <rFont val="Tahoma"/>
            <family val="2"/>
          </rPr>
          <t>AG-SCH40
AG-SCH80
CU-K
CU-L
CU-M
PVCP
CPVC</t>
        </r>
      </text>
    </comment>
    <comment ref="E24" authorId="0" shapeId="0" xr:uid="{AC4581AB-DB66-4218-9421-6A07BD5FB2A4}">
      <text>
        <r>
          <rPr>
            <b/>
            <sz val="10"/>
            <color indexed="81"/>
            <rFont val="Tahoma"/>
            <family val="2"/>
          </rPr>
          <t>AG-SCH40
AG-SCH80
CU-K
CU-L
CU-M
PVCP
CPVC</t>
        </r>
      </text>
    </comment>
    <comment ref="E25" authorId="0" shapeId="0" xr:uid="{54F0838C-FE97-4E31-8FCF-6287BDFF2F75}">
      <text>
        <r>
          <rPr>
            <b/>
            <sz val="10"/>
            <color indexed="81"/>
            <rFont val="Tahoma"/>
            <family val="2"/>
          </rPr>
          <t>AG-SCH40
AG-SCH80
CU-K
CU-L
CU-M
PVCP
CPVC</t>
        </r>
      </text>
    </comment>
    <comment ref="E26" authorId="0" shapeId="0" xr:uid="{F2B3C691-B8BF-48FC-987B-2534638E3277}">
      <text>
        <r>
          <rPr>
            <b/>
            <sz val="10"/>
            <color indexed="81"/>
            <rFont val="Tahoma"/>
            <family val="2"/>
          </rPr>
          <t>AG-SCH40
AG-SCH80
CU-K
CU-L
CU-M
PVCP
CPVC</t>
        </r>
      </text>
    </comment>
    <comment ref="E27" authorId="0" shapeId="0" xr:uid="{00000000-0006-0000-0300-000005000000}">
      <text>
        <r>
          <rPr>
            <b/>
            <sz val="10"/>
            <color indexed="81"/>
            <rFont val="Tahoma"/>
            <family val="2"/>
          </rPr>
          <t>AG-SCH40
AG-SCH80
CU-K
CU-L
CU-M
PVCP
CPVC</t>
        </r>
      </text>
    </comment>
    <comment ref="P28" authorId="0" shapeId="0" xr:uid="{B69C8656-BD1E-4DBB-AB3E-1EAE7D484F07}">
      <text>
        <r>
          <rPr>
            <b/>
            <sz val="8"/>
            <color indexed="81"/>
            <rFont val="Tahoma"/>
            <family val="2"/>
          </rPr>
          <t>PERDIDAS DESPUES DE MEDIDOR</t>
        </r>
      </text>
    </comment>
    <comment ref="E30" authorId="0" shapeId="0" xr:uid="{00000000-0006-0000-0300-000006000000}">
      <text>
        <r>
          <rPr>
            <b/>
            <sz val="10"/>
            <color indexed="81"/>
            <rFont val="Tahoma"/>
            <family val="2"/>
          </rPr>
          <t>AG-SCH40
AG-SCH80
CU-K
CU-L
CU-M
PVCP
CPVC</t>
        </r>
      </text>
    </comment>
    <comment ref="E31" authorId="0" shapeId="0" xr:uid="{A2F7C388-C3DC-4DBE-95A1-2AE3F77BED4D}">
      <text>
        <r>
          <rPr>
            <b/>
            <sz val="10"/>
            <color indexed="81"/>
            <rFont val="Tahoma"/>
            <family val="2"/>
          </rPr>
          <t>AG-SCH40
AG-SCH80
CU-K
CU-L
CU-M
PVCP
CPVC</t>
        </r>
      </text>
    </comment>
    <comment ref="E32" authorId="0" shapeId="0" xr:uid="{4D3FF1A8-1051-44D5-A94B-1F455782DDEE}">
      <text>
        <r>
          <rPr>
            <b/>
            <sz val="10"/>
            <color indexed="81"/>
            <rFont val="Tahoma"/>
            <family val="2"/>
          </rPr>
          <t>AG-SCH40
AG-SCH80
CU-K
CU-L
CU-M
PVCP
CPVC</t>
        </r>
      </text>
    </comment>
    <comment ref="E33" authorId="0" shapeId="0" xr:uid="{821B91F1-C294-431E-B686-7AF63CC9CC04}">
      <text>
        <r>
          <rPr>
            <b/>
            <sz val="10"/>
            <color indexed="81"/>
            <rFont val="Tahoma"/>
            <family val="2"/>
          </rPr>
          <t>AG-SCH40
AG-SCH80
CU-K
CU-L
CU-M
PVCP
CPVC</t>
        </r>
      </text>
    </comment>
    <comment ref="E34" authorId="0" shapeId="0" xr:uid="{60C09442-9C7F-4804-9030-4BE8516A2389}">
      <text>
        <r>
          <rPr>
            <b/>
            <sz val="10"/>
            <color indexed="81"/>
            <rFont val="Tahoma"/>
            <family val="2"/>
          </rPr>
          <t>AG-SCH40
AG-SCH80
CU-K
CU-L
CU-M
PVCP
CPVC</t>
        </r>
      </text>
    </comment>
    <comment ref="E35" authorId="0" shapeId="0" xr:uid="{1C3D82B7-A430-4C11-90DC-09235A742190}">
      <text>
        <r>
          <rPr>
            <b/>
            <sz val="10"/>
            <color indexed="81"/>
            <rFont val="Tahoma"/>
            <family val="2"/>
          </rPr>
          <t>AG-SCH40
AG-SCH80
CU-K
CU-L
CU-M
PVCP
CPVC</t>
        </r>
      </text>
    </comment>
    <comment ref="E36" authorId="0" shapeId="0" xr:uid="{65757C9A-A949-4645-8F0A-9A5DA746C6B0}">
      <text>
        <r>
          <rPr>
            <b/>
            <sz val="10"/>
            <color indexed="81"/>
            <rFont val="Tahoma"/>
            <family val="2"/>
          </rPr>
          <t>AG-SCH40
AG-SCH80
CU-K
CU-L
CU-M
PVCP
CPVC</t>
        </r>
      </text>
    </comment>
    <comment ref="P38" authorId="0" shapeId="0" xr:uid="{4FA57054-F0BA-4B72-A39A-8B988AF4C308}">
      <text>
        <r>
          <rPr>
            <b/>
            <sz val="8"/>
            <color indexed="81"/>
            <rFont val="Tahoma"/>
            <family val="2"/>
          </rPr>
          <t>PERDIDAS DESPUES DE MEDIDOR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Preferred Customer</author>
  </authors>
  <commentList>
    <comment ref="L20" authorId="0" shapeId="0" xr:uid="{00000000-0006-0000-0400-000001000000}">
      <text>
        <r>
          <rPr>
            <b/>
            <sz val="8"/>
            <color indexed="81"/>
            <rFont val="Tahoma"/>
            <family val="2"/>
          </rPr>
          <t xml:space="preserve">ESTE VALOR CORRESPONDE ALA PRESION EN EL PUNTO MAS CRECANO A LA BOMBA, CALCULADO EN LA HOJA CRITICA INCENDIO.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Preferred Customer</author>
  </authors>
  <commentList>
    <comment ref="E15" authorId="0" shapeId="0" xr:uid="{8E7FCF7A-965F-4876-8092-8B4FEEAFC7A9}">
      <text>
        <r>
          <rPr>
            <b/>
            <sz val="10"/>
            <color indexed="81"/>
            <rFont val="Tahoma"/>
            <family val="2"/>
          </rPr>
          <t>AG-SCH40
AG-SCH80
CU-K
CU-L
CU-M
PVCP
CPVC</t>
        </r>
      </text>
    </comment>
    <comment ref="E16" authorId="0" shapeId="0" xr:uid="{E17CC562-36CF-49E6-B315-34F607C53A19}">
      <text>
        <r>
          <rPr>
            <b/>
            <sz val="10"/>
            <color indexed="81"/>
            <rFont val="Tahoma"/>
            <family val="2"/>
          </rPr>
          <t>AG-SCH40
AG-SCH80
CU-K
CU-L
CU-M
PVCP
CPVC</t>
        </r>
      </text>
    </comment>
    <comment ref="E17" authorId="0" shapeId="0" xr:uid="{8D78DB78-C441-4B2A-9936-49B0D3FB968D}">
      <text>
        <r>
          <rPr>
            <b/>
            <sz val="10"/>
            <color indexed="81"/>
            <rFont val="Tahoma"/>
            <family val="2"/>
          </rPr>
          <t>AG-SCH40
AG-SCH80
CU-K
CU-L
CU-M
PVCP
CPVC</t>
        </r>
      </text>
    </comment>
    <comment ref="E18" authorId="0" shapeId="0" xr:uid="{A47D3A6C-5EA1-46B2-B575-209001E219FD}">
      <text>
        <r>
          <rPr>
            <b/>
            <sz val="10"/>
            <color indexed="81"/>
            <rFont val="Tahoma"/>
            <family val="2"/>
          </rPr>
          <t>AG-SCH40
AG-SCH80
CU-K
CU-L
CU-M
PVCP
CPVC</t>
        </r>
      </text>
    </comment>
    <comment ref="E19" authorId="0" shapeId="0" xr:uid="{D0D88F70-E281-4E48-9454-C5EAE33D542D}">
      <text>
        <r>
          <rPr>
            <b/>
            <sz val="10"/>
            <color indexed="81"/>
            <rFont val="Tahoma"/>
            <family val="2"/>
          </rPr>
          <t>AG-SCH40
AG-SCH80
CU-K
CU-L
CU-M
PVCP
CPVC</t>
        </r>
      </text>
    </comment>
    <comment ref="E20" authorId="0" shapeId="0" xr:uid="{5F490B80-F332-4F26-933D-827D23621114}">
      <text>
        <r>
          <rPr>
            <b/>
            <sz val="10"/>
            <color indexed="81"/>
            <rFont val="Tahoma"/>
            <family val="2"/>
          </rPr>
          <t>AG-SCH40
AG-SCH80
CU-K
CU-L
CU-M
PVCP
CPVC</t>
        </r>
      </text>
    </comment>
    <comment ref="P21" authorId="0" shapeId="0" xr:uid="{CA669BC5-97FE-4CDD-8563-B066FA58596B}">
      <text>
        <r>
          <rPr>
            <b/>
            <sz val="8"/>
            <color indexed="81"/>
            <rFont val="Tahoma"/>
            <family val="2"/>
          </rPr>
          <t>PERDIDAS DESPUES DE MEDIDOR</t>
        </r>
      </text>
    </comment>
    <comment ref="E23" authorId="0" shapeId="0" xr:uid="{B9EB4D13-2C8D-4487-91A7-72B5CBDC18A9}">
      <text>
        <r>
          <rPr>
            <b/>
            <sz val="10"/>
            <color indexed="81"/>
            <rFont val="Tahoma"/>
            <family val="2"/>
          </rPr>
          <t>AG-SCH40
AG-SCH80
CU-K
CU-L
CU-M
PVCP
CPVC</t>
        </r>
      </text>
    </comment>
    <comment ref="E24" authorId="0" shapeId="0" xr:uid="{2FD328D8-8F65-42E9-A203-0BAF34E58FC8}">
      <text>
        <r>
          <rPr>
            <b/>
            <sz val="10"/>
            <color indexed="81"/>
            <rFont val="Tahoma"/>
            <family val="2"/>
          </rPr>
          <t>AG-SCH40
AG-SCH80
CU-K
CU-L
CU-M
PVCP
CPVC</t>
        </r>
      </text>
    </comment>
    <comment ref="E25" authorId="0" shapeId="0" xr:uid="{B2670B55-6431-4682-9203-FDD58FDBB867}">
      <text>
        <r>
          <rPr>
            <b/>
            <sz val="10"/>
            <color indexed="81"/>
            <rFont val="Tahoma"/>
            <family val="2"/>
          </rPr>
          <t>AG-SCH40
AG-SCH80
CU-K
CU-L
CU-M
PVCP
CPVC</t>
        </r>
      </text>
    </comment>
    <comment ref="E26" authorId="0" shapeId="0" xr:uid="{D7BD56D0-BCE5-4489-AA8D-ACD73E4FD639}">
      <text>
        <r>
          <rPr>
            <b/>
            <sz val="10"/>
            <color indexed="81"/>
            <rFont val="Tahoma"/>
            <family val="2"/>
          </rPr>
          <t>AG-SCH40
AG-SCH80
CU-K
CU-L
CU-M
PVCP
CPVC</t>
        </r>
      </text>
    </comment>
    <comment ref="E27" authorId="0" shapeId="0" xr:uid="{6F09D479-564B-49A9-908A-C24F9DA1FAB6}">
      <text>
        <r>
          <rPr>
            <b/>
            <sz val="10"/>
            <color indexed="81"/>
            <rFont val="Tahoma"/>
            <family val="2"/>
          </rPr>
          <t>AG-SCH40
AG-SCH80
CU-K
CU-L
CU-M
PVCP
CPVC</t>
        </r>
      </text>
    </comment>
    <comment ref="E28" authorId="0" shapeId="0" xr:uid="{71207BF8-AFC2-49D4-96DE-14475BD50049}">
      <text>
        <r>
          <rPr>
            <b/>
            <sz val="10"/>
            <color indexed="81"/>
            <rFont val="Tahoma"/>
            <family val="2"/>
          </rPr>
          <t>AG-SCH40
AG-SCH80
CU-K
CU-L
CU-M
PVCP
CPVC</t>
        </r>
      </text>
    </comment>
    <comment ref="E29" authorId="0" shapeId="0" xr:uid="{D8F69246-EE0A-4B72-A1CC-8B13DC417EDF}">
      <text>
        <r>
          <rPr>
            <b/>
            <sz val="10"/>
            <color indexed="81"/>
            <rFont val="Tahoma"/>
            <family val="2"/>
          </rPr>
          <t>AG-SCH40
AG-SCH80
CU-K
CU-L
CU-M
PVCP
CPVC</t>
        </r>
      </text>
    </comment>
    <comment ref="P30" authorId="0" shapeId="0" xr:uid="{A7CFA6FA-699D-4092-BB18-45FE22A23F12}">
      <text>
        <r>
          <rPr>
            <b/>
            <sz val="8"/>
            <color indexed="81"/>
            <rFont val="Tahoma"/>
            <family val="2"/>
          </rPr>
          <t>PERDIDAS DESPUES DE MEDIDOR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Preferred Customer</author>
  </authors>
  <commentList>
    <comment ref="E23" authorId="0" shapeId="0" xr:uid="{8B778D9C-6FBD-46D3-8C7A-F4A00F0F7C9A}">
      <text>
        <r>
          <rPr>
            <b/>
            <sz val="8"/>
            <color indexed="81"/>
            <rFont val="Tahoma"/>
            <family val="2"/>
          </rPr>
          <t>AJUSTARLO AL DIAMETRO COMERCIAL MAS CERCANO</t>
        </r>
      </text>
    </comment>
  </commentList>
</comments>
</file>

<file path=xl/sharedStrings.xml><?xml version="1.0" encoding="utf-8"?>
<sst xmlns="http://schemas.openxmlformats.org/spreadsheetml/2006/main" count="303" uniqueCount="187">
  <si>
    <t xml:space="preserve">CALCULÓ : </t>
  </si>
  <si>
    <t>PVCP</t>
  </si>
  <si>
    <t>AG-SCH40</t>
  </si>
  <si>
    <t>C</t>
  </si>
  <si>
    <t>FINAL (m)</t>
  </si>
  <si>
    <t>(m)</t>
  </si>
  <si>
    <t>(m/m)</t>
  </si>
  <si>
    <t>TOTAL</t>
  </si>
  <si>
    <t>ACCES.</t>
  </si>
  <si>
    <t>HORIZ.</t>
  </si>
  <si>
    <t>VERT.</t>
  </si>
  <si>
    <t>(m/s)</t>
  </si>
  <si>
    <t>mm</t>
  </si>
  <si>
    <t xml:space="preserve"> (pulg)</t>
  </si>
  <si>
    <t>MAT</t>
  </si>
  <si>
    <t>A</t>
  </si>
  <si>
    <t>DE</t>
  </si>
  <si>
    <t>HG</t>
  </si>
  <si>
    <t>LONGITUD (METROS)</t>
  </si>
  <si>
    <t>VELOCIDAD</t>
  </si>
  <si>
    <t>CAUDAL</t>
  </si>
  <si>
    <t>TRAMO</t>
  </si>
  <si>
    <t>HOJA</t>
  </si>
  <si>
    <t xml:space="preserve">CONTIENE:       </t>
  </si>
  <si>
    <t xml:space="preserve">REVISÓ : </t>
  </si>
  <si>
    <t>% DEL CAUDAL TOTAL C/U</t>
  </si>
  <si>
    <t>BOMBA(S) PARA EL</t>
  </si>
  <si>
    <t xml:space="preserve">SE INSTALARA(N) </t>
  </si>
  <si>
    <t>x</t>
  </si>
  <si>
    <t>H.P.</t>
  </si>
  <si>
    <t>POTENCIA DE DISEÑO=</t>
  </si>
  <si>
    <t>=</t>
  </si>
  <si>
    <t>x 1,0 x</t>
  </si>
  <si>
    <t>POTENCIA =</t>
  </si>
  <si>
    <t>76 x n</t>
  </si>
  <si>
    <t>%</t>
  </si>
  <si>
    <t>CON EFICIENCIA (n) =</t>
  </si>
  <si>
    <t>Q x Y x Ht</t>
  </si>
  <si>
    <t>m.c.a</t>
  </si>
  <si>
    <t>C.D.T DISEÑO =</t>
  </si>
  <si>
    <t>CABEZA DINAMICA TOTAL (C.D.T.)</t>
  </si>
  <si>
    <t>m</t>
  </si>
  <si>
    <t>LT x J =</t>
  </si>
  <si>
    <t>m / m</t>
  </si>
  <si>
    <t>Js =</t>
  </si>
  <si>
    <t>m / s</t>
  </si>
  <si>
    <t>V =</t>
  </si>
  <si>
    <t>Q =</t>
  </si>
  <si>
    <t>C :</t>
  </si>
  <si>
    <t>PULG.</t>
  </si>
  <si>
    <t>PARA D=</t>
  </si>
  <si>
    <t>LT =</t>
  </si>
  <si>
    <t>LONGITUD TOTAL</t>
  </si>
  <si>
    <t>LE =</t>
  </si>
  <si>
    <t>LONGITUD EQUIVALENTE</t>
  </si>
  <si>
    <t>L =</t>
  </si>
  <si>
    <t>LONGITUD TUBERIA</t>
  </si>
  <si>
    <t>LONGITUDES</t>
  </si>
  <si>
    <t>ALTURA ESTATICA EN LA SUCCION (He)</t>
  </si>
  <si>
    <t>ALTURA ESTATICA EN LA DESCARGA</t>
  </si>
  <si>
    <t>gpm</t>
  </si>
  <si>
    <t>CAUDAL (Q) :</t>
  </si>
  <si>
    <t>CONTIENE:</t>
  </si>
  <si>
    <t>CÁLCULO DEL VOLUMEN TANQUE DE ALMACENAMIENTO</t>
  </si>
  <si>
    <t>VOLUMEN RED CONTRA INCENDIO</t>
  </si>
  <si>
    <t>CALCULÓ:</t>
  </si>
  <si>
    <t>CÁLCULO VOLUMEN ALMACENAMIENTO  RED CONTRA INCENDIOS</t>
  </si>
  <si>
    <t>L/s</t>
  </si>
  <si>
    <t xml:space="preserve"> (L/s)</t>
  </si>
  <si>
    <t>DIÁMETRO EN PULGADAS</t>
  </si>
  <si>
    <t>HAZEN - WILLIAMS</t>
  </si>
  <si>
    <t>DIÁMETRO NOMINAL</t>
  </si>
  <si>
    <t>TUBERÍA ACERO CED.40</t>
  </si>
  <si>
    <t>TUBERÍA ACERO CED.80</t>
  </si>
  <si>
    <t>TUBERÍA COBRE TIPO K</t>
  </si>
  <si>
    <t>TUBERÍA COBRE TIPO L</t>
  </si>
  <si>
    <t>TUBERÍA COBRE TIPO M</t>
  </si>
  <si>
    <t>TUBERÍA PVC       RDE 21</t>
  </si>
  <si>
    <t xml:space="preserve">TUBERÍA CPVC       </t>
  </si>
  <si>
    <t xml:space="preserve">TUBERÍA   H.G. PESADA     </t>
  </si>
  <si>
    <t>TUBERÍA   H.G. LIVIANA</t>
  </si>
  <si>
    <t>MATERIAL</t>
  </si>
  <si>
    <t>AG-SCH80</t>
  </si>
  <si>
    <t>CONCRETO</t>
  </si>
  <si>
    <t>CU-K</t>
  </si>
  <si>
    <t>CU-L</t>
  </si>
  <si>
    <t>CU-M</t>
  </si>
  <si>
    <t>CPVC</t>
  </si>
  <si>
    <t>DIÁMETROS REALES EN MILÍMETROS</t>
  </si>
  <si>
    <t>TUBERÍA PVC RDE 21</t>
  </si>
  <si>
    <t xml:space="preserve">DIÁMETRO </t>
  </si>
  <si>
    <t>DIÁMETRO INTERNO</t>
  </si>
  <si>
    <t>PÉRDIDA UNITARIA</t>
  </si>
  <si>
    <t>PÉRDIDA TOTAL</t>
  </si>
  <si>
    <t>PÉRDIDAS EN LA DESCARGA</t>
  </si>
  <si>
    <t>PÉRDIDAS EN LA SUCCION (Hf)</t>
  </si>
  <si>
    <t xml:space="preserve">PRESIÓN EXTREMO </t>
  </si>
  <si>
    <t>PRESIÓN EN PUNTO CRITICO</t>
  </si>
  <si>
    <t>PRESIÓN NECESARIA EN LA DESCARGA</t>
  </si>
  <si>
    <t>TIPO DE RIESGO</t>
  </si>
  <si>
    <t>Minutos</t>
  </si>
  <si>
    <t>GPM</t>
  </si>
  <si>
    <t>(mm)</t>
  </si>
  <si>
    <t>CÁLCULO CABEZA DINÁMICA TOTAL EQUIPO CONTRA INCENDIO</t>
  </si>
  <si>
    <t xml:space="preserve">DURACIÓN </t>
  </si>
  <si>
    <t>INDICE MEMORIA DE CÁLCULO</t>
  </si>
  <si>
    <t xml:space="preserve"> (GPM)</t>
  </si>
  <si>
    <t>CT.B.</t>
  </si>
  <si>
    <t>ESPECIFICACIÓN  DE  VÁLVULAS REGULADORAS DE PRESIÓN</t>
  </si>
  <si>
    <t>PVC</t>
  </si>
  <si>
    <t>CU</t>
  </si>
  <si>
    <t xml:space="preserve">DIMENSIONAMIENTO VÁLVULA REGULADORA DE PRESIÓN </t>
  </si>
  <si>
    <t xml:space="preserve">- Caudal Máximo = </t>
  </si>
  <si>
    <t>M.C.A.</t>
  </si>
  <si>
    <t>PSI</t>
  </si>
  <si>
    <t xml:space="preserve">- Velocidad Máxima = </t>
  </si>
  <si>
    <t>ft/s</t>
  </si>
  <si>
    <t>a. Diámetro mínimo:</t>
  </si>
  <si>
    <t>Pulg.</t>
  </si>
  <si>
    <t>b. Cv mínimo:</t>
  </si>
  <si>
    <t>Cv para VRP 1”        =</t>
  </si>
  <si>
    <t xml:space="preserve">Cv para VRP 1 1/2” = </t>
  </si>
  <si>
    <t>Cv para VRP 2”        =</t>
  </si>
  <si>
    <t>Cv para VRP 3”       =</t>
  </si>
  <si>
    <t xml:space="preserve">Cv para VRP 4”       = </t>
  </si>
  <si>
    <t>Teniendo en cuenta el diámetro mínimo y el Cv obtenidos, se recomienda la instalación de la</t>
  </si>
  <si>
    <t xml:space="preserve">Válvula reguladora de Presión VRL de </t>
  </si>
  <si>
    <t>"</t>
  </si>
  <si>
    <t xml:space="preserve">REVISÓ: </t>
  </si>
  <si>
    <t>- Presión de salida (P. Descarga Válvula) =</t>
  </si>
  <si>
    <t>- Presión de Entrada (P. Equipo Bombeo) =</t>
  </si>
  <si>
    <t>ORDINARIO 1</t>
  </si>
  <si>
    <r>
      <t xml:space="preserve">Punto crítico: Se tomó como punto crítico la salida 2½" para bomberos ubicada en </t>
    </r>
    <r>
      <rPr>
        <sz val="12"/>
        <color rgb="FFFF0000"/>
        <rFont val="Arial"/>
        <family val="2"/>
      </rPr>
      <t>LA ESCALERA SUR PISO 24 (ACCESO A CUBIERTA)</t>
    </r>
  </si>
  <si>
    <t>CB</t>
  </si>
  <si>
    <t>CAUDAL POR ROCIADORES.</t>
  </si>
  <si>
    <r>
      <t xml:space="preserve">Punto crítico: Se tomó como punto crítico la salida 2½" para bomberos ubicada en </t>
    </r>
    <r>
      <rPr>
        <sz val="12"/>
        <color rgb="FFFF0000"/>
        <rFont val="Arial"/>
        <family val="2"/>
      </rPr>
      <t>LA ESCALERA NORTE PISO 12 (ACCESO A CUBIERTA)</t>
    </r>
  </si>
  <si>
    <r>
      <t xml:space="preserve">Punto crítico: Se tomó como punto crítico la salida 2½" para bomberos ubicada en </t>
    </r>
    <r>
      <rPr>
        <sz val="12"/>
        <color rgb="FFFF0000"/>
        <rFont val="Arial"/>
        <family val="2"/>
      </rPr>
      <t>LA ESCALERA SUR PISO 12 (ACCESO A CUBIERTA)</t>
    </r>
  </si>
  <si>
    <t>MEMORIAS DE CALCULO</t>
  </si>
  <si>
    <t>RED DE PROTECCION CONTRA INCENDIOS</t>
  </si>
  <si>
    <t>DESCRIPCION DEL PROYECTO</t>
  </si>
  <si>
    <t>Los sistemas requeridos para una protección contra incendio “activa”, a base de agua, son los siguientes:</t>
  </si>
  <si>
    <t>2. EXTINTORES PORTATILES.</t>
  </si>
  <si>
    <t>3. SISTEMA DE ROCIADORES AUTOMÁTICOS.</t>
  </si>
  <si>
    <t>REQUERIMIENTO DE SISTEMAS</t>
  </si>
  <si>
    <t>1. VOLUMEN DE TANQUE DE RESERVA</t>
  </si>
  <si>
    <t>2. RUTA CRÍTICA PRESIÓN</t>
  </si>
  <si>
    <r>
      <t>m</t>
    </r>
    <r>
      <rPr>
        <vertAlign val="superscript"/>
        <sz val="11"/>
        <rFont val="Arial"/>
        <family val="2"/>
      </rPr>
      <t>3</t>
    </r>
  </si>
  <si>
    <r>
      <t>CÁLCULO DE</t>
    </r>
    <r>
      <rPr>
        <b/>
        <u/>
        <sz val="10"/>
        <rFont val="Arial"/>
        <family val="2"/>
      </rPr>
      <t xml:space="preserve"> RUTA CRÍTICA REGULADA </t>
    </r>
    <r>
      <rPr>
        <b/>
        <sz val="10"/>
        <rFont val="Arial"/>
        <family val="2"/>
      </rPr>
      <t>EQUIPO CONTRA INCENDIO</t>
    </r>
  </si>
  <si>
    <t>PROYECTO DIAMOND DESIGN</t>
  </si>
  <si>
    <t>TUBERÍA BLAZEMASTER</t>
  </si>
  <si>
    <r>
      <t>CÁLCULO DE</t>
    </r>
    <r>
      <rPr>
        <b/>
        <u/>
        <sz val="11"/>
        <rFont val="Arial"/>
        <family val="2"/>
      </rPr>
      <t xml:space="preserve"> RUTA CRÍTICA </t>
    </r>
    <r>
      <rPr>
        <b/>
        <sz val="11"/>
        <rFont val="Arial"/>
        <family val="2"/>
      </rPr>
      <t>EQUIPO CONTRA INCENDIO</t>
    </r>
  </si>
  <si>
    <t>Terraza</t>
  </si>
  <si>
    <t>piso 8</t>
  </si>
  <si>
    <t>piso 7</t>
  </si>
  <si>
    <t>piso 6</t>
  </si>
  <si>
    <t>piso 5</t>
  </si>
  <si>
    <t>piso 4</t>
  </si>
  <si>
    <t>piso 3</t>
  </si>
  <si>
    <t>piso 2</t>
  </si>
  <si>
    <t>piso 1</t>
  </si>
  <si>
    <t>Planta baja</t>
  </si>
  <si>
    <t>subsuelo 1</t>
  </si>
  <si>
    <t>subsuelo 2</t>
  </si>
  <si>
    <t>FINAL (PSI)</t>
  </si>
  <si>
    <t>Se platea una red de gabinetes Clase II para uso de brigada de emergencia, la cual tendrá salidas 1½” mediante un sistema “Automático” (Funciona por medio de un equipo de presión desde el cuarto de bombas). Se plantea una red de rociadores “Automáticos” (Funciona por medio de un equipo de presión desde el cuarto de bombas ubicado en el subsuelo 3), la cual tendrá una cobertura en los sotanos de la edificación, como a su vez se plantean los extintores portátiles multipropósito distribuidos dentro de la edificación.</t>
  </si>
  <si>
    <t>NIVEL</t>
  </si>
  <si>
    <t>T</t>
  </si>
  <si>
    <t>P8</t>
  </si>
  <si>
    <t>P7</t>
  </si>
  <si>
    <t>P6</t>
  </si>
  <si>
    <t>P5</t>
  </si>
  <si>
    <t>P4</t>
  </si>
  <si>
    <t>P3</t>
  </si>
  <si>
    <t>P2</t>
  </si>
  <si>
    <t>PB</t>
  </si>
  <si>
    <t xml:space="preserve">El proyecto DIAMOD DESIGN consta de dos torres las cuales serán destinadas a uso residencial, una torre consta de 2 subsuelos y 8 pisos de apartamentos, la segunda torre consta de 3 subsuelos y 8 pisos de apartamentos ; ambas torres cuentan con terrazas y cubierta para uso técnico. Se tiene en total 106 unidades residenciales en total. El proyecto se desarrollará en la ciudad de Quito, Ecuador. </t>
  </si>
  <si>
    <t>CAUDAL POR MANGUERAS</t>
  </si>
  <si>
    <t>PROYECTO CABLE AEREO SAN CRISTOBAL</t>
  </si>
  <si>
    <r>
      <rPr>
        <b/>
        <sz val="11"/>
        <rFont val="Arial"/>
        <family val="2"/>
      </rPr>
      <t xml:space="preserve">Nota: </t>
    </r>
    <r>
      <rPr>
        <sz val="11"/>
        <rFont val="Arial"/>
        <family val="2"/>
      </rPr>
      <t xml:space="preserve">Se debe garantizar reserva de agua total de 52 m3 para el abastecimiento de los sistemas de proteccion contra incendios. </t>
    </r>
  </si>
  <si>
    <t>David Rodriguez</t>
  </si>
  <si>
    <t>Ing. Javier Torres</t>
  </si>
  <si>
    <t>Nota: Ruta critica desde siamesa hasta salida de bomberos 2 1/2"</t>
  </si>
  <si>
    <t>CALCULÓ:   David Rodriguez S.</t>
  </si>
  <si>
    <t xml:space="preserve">   I</t>
  </si>
  <si>
    <t>REVISÓ :    Ing. Javier Torres</t>
  </si>
  <si>
    <t>1. SISTEMA DE ROCIADORES AUTOMÁTICOS.</t>
  </si>
  <si>
    <t xml:space="preserve">Punto crítico: Se tomó como punto crítico la salida de 2 1/2" mas lejana en el piso de abordaje.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</si>
</sst>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
    <numFmt numFmtId="165" formatCode="0.000"/>
    <numFmt numFmtId="166" formatCode="#,##0.0"/>
    <numFmt numFmtId="167" formatCode="_-* #,##0.00\ &quot;Pts&quot;_-;\-* #,##0.00\ &quot;Pts&quot;_-;_-* &quot;-&quot;??\ &quot;Pts&quot;_-;_-@_-"/>
    <numFmt numFmtId="168" formatCode="&quot;$&quot;#,##0.00"/>
    <numFmt numFmtId="169" formatCode="0.0000"/>
    <numFmt numFmtId="170" formatCode="0.0"/>
    <numFmt numFmtId="171" formatCode="_-* #,##0.00\ _P_t_s_-;\-* #,##0.00\ _P_t_s_-;_-* &quot;-&quot;??\ _P_t_s_-;_-@_-"/>
  </numFmts>
  <fonts count="35" x14ac:knownFonts="1">
    <font>
      <sz val="11"/>
      <color theme="1"/>
      <name val="Calibri"/>
      <family val="2"/>
      <scheme val="minor"/>
    </font>
    <font>
      <sz val="10"/>
      <name val="Arial"/>
      <family val="2"/>
    </font>
    <font>
      <sz val="11"/>
      <name val="Arial"/>
      <family val="2"/>
    </font>
    <font>
      <b/>
      <sz val="11"/>
      <name val="Arial"/>
      <family val="2"/>
    </font>
    <font>
      <sz val="12"/>
      <name val="Arial"/>
      <family val="2"/>
    </font>
    <font>
      <b/>
      <sz val="8"/>
      <name val="Arial"/>
      <family val="2"/>
    </font>
    <font>
      <sz val="8"/>
      <name val="Arial"/>
      <family val="2"/>
    </font>
    <font>
      <b/>
      <sz val="12"/>
      <name val="Arial"/>
      <family val="2"/>
    </font>
    <font>
      <b/>
      <sz val="9"/>
      <name val="Arial"/>
      <family val="2"/>
    </font>
    <font>
      <b/>
      <sz val="8"/>
      <color indexed="81"/>
      <name val="Tahoma"/>
      <family val="2"/>
    </font>
    <font>
      <b/>
      <sz val="10"/>
      <color indexed="81"/>
      <name val="Tahoma"/>
      <family val="2"/>
    </font>
    <font>
      <sz val="14"/>
      <name val="Arial"/>
      <family val="2"/>
    </font>
    <font>
      <b/>
      <sz val="14"/>
      <name val="Arial"/>
      <family val="2"/>
    </font>
    <font>
      <sz val="11"/>
      <name val="Trebuchet MS"/>
      <family val="2"/>
    </font>
    <font>
      <b/>
      <sz val="11"/>
      <name val="Trebuchet MS"/>
      <family val="2"/>
    </font>
    <font>
      <sz val="8"/>
      <name val="Trebuchet MS"/>
      <family val="2"/>
    </font>
    <font>
      <b/>
      <sz val="8"/>
      <name val="Trebuchet MS"/>
      <family val="2"/>
    </font>
    <font>
      <b/>
      <sz val="12"/>
      <name val="Trebuchet MS"/>
      <family val="2"/>
    </font>
    <font>
      <sz val="10"/>
      <name val="Trebuchet MS"/>
      <family val="2"/>
    </font>
    <font>
      <b/>
      <sz val="10"/>
      <name val="Trebuchet MS"/>
      <family val="2"/>
    </font>
    <font>
      <sz val="12"/>
      <name val="Trebuchet MS"/>
      <family val="2"/>
    </font>
    <font>
      <sz val="12"/>
      <color rgb="FFFF0000"/>
      <name val="Arial"/>
      <family val="2"/>
    </font>
    <font>
      <sz val="14"/>
      <name val="Trebuchet MS"/>
      <family val="2"/>
    </font>
    <font>
      <b/>
      <sz val="14"/>
      <name val="Trebuchet MS"/>
      <family val="2"/>
    </font>
    <font>
      <sz val="10"/>
      <name val="Arial"/>
      <family val="2"/>
    </font>
    <font>
      <sz val="10"/>
      <name val="Arial"/>
    </font>
    <font>
      <b/>
      <u/>
      <sz val="13"/>
      <name val="Arial"/>
      <family val="2"/>
    </font>
    <font>
      <vertAlign val="superscript"/>
      <sz val="11"/>
      <name val="Arial"/>
      <family val="2"/>
    </font>
    <font>
      <sz val="13"/>
      <name val="Arial"/>
      <family val="2"/>
    </font>
    <font>
      <b/>
      <sz val="10"/>
      <name val="Arial"/>
      <family val="2"/>
    </font>
    <font>
      <b/>
      <u/>
      <sz val="10"/>
      <name val="Arial"/>
      <family val="2"/>
    </font>
    <font>
      <b/>
      <u/>
      <sz val="11"/>
      <name val="Arial"/>
      <family val="2"/>
    </font>
    <font>
      <sz val="12"/>
      <name val="Calibri"/>
      <family val="2"/>
      <scheme val="minor"/>
    </font>
    <font>
      <b/>
      <sz val="12"/>
      <name val="Calibri"/>
      <family val="2"/>
      <scheme val="minor"/>
    </font>
    <font>
      <sz val="8"/>
      <name val="Calibri"/>
      <family val="2"/>
      <scheme val="minor"/>
    </font>
  </fonts>
  <fills count="10">
    <fill>
      <patternFill patternType="none"/>
    </fill>
    <fill>
      <patternFill patternType="gray125"/>
    </fill>
    <fill>
      <patternFill patternType="solid">
        <fgColor indexed="47"/>
        <bgColor indexed="64"/>
      </patternFill>
    </fill>
    <fill>
      <patternFill patternType="solid">
        <fgColor rgb="FFFFFFCC"/>
        <bgColor indexed="64"/>
      </patternFill>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59999389629810485"/>
        <bgColor indexed="64"/>
      </patternFill>
    </fill>
  </fills>
  <borders count="39">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right style="thin">
        <color indexed="64"/>
      </right>
      <top/>
      <bottom style="medium">
        <color indexed="64"/>
      </bottom>
      <diagonal/>
    </border>
  </borders>
  <cellStyleXfs count="7">
    <xf numFmtId="0" fontId="0" fillId="0" borderId="0"/>
    <xf numFmtId="0" fontId="1" fillId="0" borderId="0"/>
    <xf numFmtId="167" fontId="1" fillId="0" borderId="0" applyFont="0" applyFill="0" applyBorder="0" applyAlignment="0" applyProtection="0"/>
    <xf numFmtId="0" fontId="24" fillId="0" borderId="0"/>
    <xf numFmtId="171" fontId="1" fillId="0" borderId="0" applyFont="0" applyFill="0" applyBorder="0" applyAlignment="0" applyProtection="0"/>
    <xf numFmtId="0" fontId="25" fillId="0" borderId="0"/>
    <xf numFmtId="0" fontId="1" fillId="0" borderId="0"/>
  </cellStyleXfs>
  <cellXfs count="593">
    <xf numFmtId="0" fontId="0" fillId="0" borderId="0" xfId="0"/>
    <xf numFmtId="0" fontId="2" fillId="0" borderId="0" xfId="1" applyFont="1" applyFill="1" applyBorder="1"/>
    <xf numFmtId="4" fontId="2" fillId="0" borderId="0" xfId="1" applyNumberFormat="1" applyFont="1" applyFill="1" applyBorder="1" applyAlignment="1">
      <alignment horizontal="center"/>
    </xf>
    <xf numFmtId="164" fontId="2" fillId="0" borderId="0" xfId="1" applyNumberFormat="1" applyFont="1" applyFill="1" applyBorder="1" applyAlignment="1">
      <alignment horizontal="center"/>
    </xf>
    <xf numFmtId="4" fontId="2" fillId="0" borderId="0" xfId="1" applyNumberFormat="1" applyFont="1" applyFill="1" applyBorder="1"/>
    <xf numFmtId="49" fontId="2" fillId="0" borderId="0" xfId="1" applyNumberFormat="1" applyFont="1" applyFill="1" applyBorder="1" applyAlignment="1">
      <alignment horizontal="center"/>
    </xf>
    <xf numFmtId="2" fontId="2" fillId="0" borderId="0" xfId="1" applyNumberFormat="1" applyFont="1" applyFill="1" applyBorder="1" applyAlignment="1">
      <alignment horizontal="center"/>
    </xf>
    <xf numFmtId="1" fontId="2" fillId="0" borderId="0" xfId="1" applyNumberFormat="1" applyFont="1" applyFill="1" applyBorder="1"/>
    <xf numFmtId="3" fontId="3" fillId="0" borderId="0" xfId="1" applyNumberFormat="1" applyFont="1" applyFill="1" applyBorder="1"/>
    <xf numFmtId="4" fontId="3" fillId="0" borderId="0" xfId="1" applyNumberFormat="1" applyFont="1" applyFill="1" applyBorder="1" applyAlignment="1">
      <alignment horizontal="center"/>
    </xf>
    <xf numFmtId="164" fontId="3" fillId="0" borderId="0" xfId="1" applyNumberFormat="1" applyFont="1" applyFill="1" applyBorder="1" applyAlignment="1">
      <alignment horizontal="center"/>
    </xf>
    <xf numFmtId="4" fontId="3" fillId="0" borderId="0" xfId="1" applyNumberFormat="1" applyFont="1" applyFill="1" applyBorder="1"/>
    <xf numFmtId="49" fontId="3" fillId="0" borderId="0" xfId="1" applyNumberFormat="1" applyFont="1" applyFill="1" applyBorder="1" applyAlignment="1">
      <alignment horizontal="center"/>
    </xf>
    <xf numFmtId="2" fontId="3" fillId="0" borderId="0" xfId="1" applyNumberFormat="1" applyFont="1" applyFill="1" applyBorder="1" applyAlignment="1">
      <alignment horizontal="center"/>
    </xf>
    <xf numFmtId="1" fontId="3" fillId="0" borderId="0" xfId="1" applyNumberFormat="1" applyFont="1" applyFill="1" applyBorder="1"/>
    <xf numFmtId="0" fontId="1" fillId="0" borderId="0" xfId="1" applyFill="1" applyBorder="1"/>
    <xf numFmtId="4" fontId="1" fillId="0" borderId="0" xfId="1" applyNumberFormat="1" applyFill="1" applyBorder="1" applyAlignment="1">
      <alignment horizontal="center"/>
    </xf>
    <xf numFmtId="164" fontId="1" fillId="0" borderId="0" xfId="1" applyNumberFormat="1" applyFill="1" applyBorder="1" applyAlignment="1">
      <alignment horizontal="center"/>
    </xf>
    <xf numFmtId="4" fontId="1" fillId="0" borderId="0" xfId="1" applyNumberFormat="1" applyFill="1" applyBorder="1"/>
    <xf numFmtId="49" fontId="1" fillId="0" borderId="0" xfId="1" applyNumberFormat="1" applyFill="1" applyBorder="1" applyAlignment="1">
      <alignment horizontal="center"/>
    </xf>
    <xf numFmtId="2" fontId="1" fillId="0" borderId="0" xfId="1" applyNumberFormat="1" applyFill="1" applyBorder="1" applyAlignment="1">
      <alignment horizontal="center"/>
    </xf>
    <xf numFmtId="1" fontId="1" fillId="0" borderId="0" xfId="1" applyNumberFormat="1" applyFill="1" applyBorder="1"/>
    <xf numFmtId="3" fontId="2" fillId="0" borderId="0" xfId="1" applyNumberFormat="1" applyFont="1" applyFill="1" applyBorder="1" applyAlignment="1">
      <alignment horizontal="right"/>
    </xf>
    <xf numFmtId="4" fontId="2" fillId="0" borderId="0" xfId="1" applyNumberFormat="1" applyFont="1" applyFill="1" applyBorder="1" applyAlignment="1">
      <alignment horizontal="right"/>
    </xf>
    <xf numFmtId="1" fontId="2" fillId="0" borderId="0" xfId="1" applyNumberFormat="1" applyFont="1" applyFill="1" applyBorder="1" applyAlignment="1">
      <alignment horizontal="right"/>
    </xf>
    <xf numFmtId="3" fontId="2" fillId="0" borderId="0" xfId="1" applyNumberFormat="1" applyFont="1" applyFill="1" applyBorder="1" applyAlignment="1">
      <alignment horizontal="centerContinuous"/>
    </xf>
    <xf numFmtId="4" fontId="2" fillId="0" borderId="0" xfId="1" applyNumberFormat="1" applyFont="1" applyFill="1" applyBorder="1" applyAlignment="1">
      <alignment horizontal="centerContinuous"/>
    </xf>
    <xf numFmtId="1" fontId="2" fillId="0" borderId="0" xfId="1" applyNumberFormat="1" applyFont="1" applyFill="1" applyBorder="1" applyAlignment="1">
      <alignment horizontal="centerContinuous"/>
    </xf>
    <xf numFmtId="4" fontId="2" fillId="0" borderId="9" xfId="1" applyNumberFormat="1" applyFont="1" applyFill="1" applyBorder="1" applyAlignment="1">
      <alignment horizontal="center" vertical="center"/>
    </xf>
    <xf numFmtId="4" fontId="3" fillId="0" borderId="10" xfId="1" applyNumberFormat="1" applyFont="1" applyFill="1" applyBorder="1" applyAlignment="1">
      <alignment horizontal="center" vertical="center"/>
    </xf>
    <xf numFmtId="164" fontId="2" fillId="0" borderId="10" xfId="1" applyNumberFormat="1" applyFont="1" applyFill="1" applyBorder="1" applyAlignment="1">
      <alignment horizontal="center" vertical="center"/>
    </xf>
    <xf numFmtId="4" fontId="2" fillId="0" borderId="10" xfId="1" applyNumberFormat="1" applyFont="1" applyFill="1" applyBorder="1" applyAlignment="1">
      <alignment horizontal="center" vertical="center"/>
    </xf>
    <xf numFmtId="4" fontId="2" fillId="0" borderId="6" xfId="1" applyNumberFormat="1" applyFont="1" applyFill="1" applyBorder="1" applyAlignment="1">
      <alignment vertical="center"/>
    </xf>
    <xf numFmtId="4" fontId="3" fillId="0" borderId="10" xfId="1" applyNumberFormat="1" applyFont="1" applyFill="1" applyBorder="1" applyAlignment="1">
      <alignment vertical="center"/>
    </xf>
    <xf numFmtId="49" fontId="2" fillId="0" borderId="10" xfId="1" applyNumberFormat="1" applyFont="1" applyFill="1" applyBorder="1" applyAlignment="1">
      <alignment horizontal="center" vertical="center"/>
    </xf>
    <xf numFmtId="2" fontId="3" fillId="0" borderId="10" xfId="1" applyNumberFormat="1" applyFont="1" applyFill="1" applyBorder="1" applyAlignment="1">
      <alignment horizontal="center" vertical="center"/>
    </xf>
    <xf numFmtId="2" fontId="2" fillId="0" borderId="10" xfId="1" applyNumberFormat="1" applyFont="1" applyFill="1" applyBorder="1" applyAlignment="1">
      <alignment horizontal="center" vertical="center"/>
    </xf>
    <xf numFmtId="1" fontId="2" fillId="0" borderId="11" xfId="1" applyNumberFormat="1" applyFont="1" applyFill="1" applyBorder="1" applyAlignment="1">
      <alignment horizontal="center" vertical="center"/>
    </xf>
    <xf numFmtId="1" fontId="2" fillId="0" borderId="7" xfId="1" applyNumberFormat="1" applyFont="1" applyFill="1" applyBorder="1" applyAlignment="1">
      <alignment horizontal="center" vertical="center"/>
    </xf>
    <xf numFmtId="4" fontId="2" fillId="0" borderId="13" xfId="1" applyNumberFormat="1" applyFont="1" applyFill="1" applyBorder="1" applyAlignment="1">
      <alignment horizontal="center" vertical="center"/>
    </xf>
    <xf numFmtId="4" fontId="2" fillId="0" borderId="14" xfId="1" applyNumberFormat="1" applyFont="1" applyFill="1" applyBorder="1" applyAlignment="1">
      <alignment horizontal="center" vertical="center"/>
    </xf>
    <xf numFmtId="164" fontId="2" fillId="0" borderId="14" xfId="1" applyNumberFormat="1" applyFont="1" applyFill="1" applyBorder="1" applyAlignment="1">
      <alignment horizontal="center" vertical="center"/>
    </xf>
    <xf numFmtId="4" fontId="2" fillId="0" borderId="14" xfId="1" applyNumberFormat="1" applyFont="1" applyFill="1" applyBorder="1" applyAlignment="1">
      <alignment vertical="center"/>
    </xf>
    <xf numFmtId="1" fontId="2" fillId="0" borderId="14" xfId="1" applyNumberFormat="1" applyFont="1" applyFill="1" applyBorder="1" applyAlignment="1">
      <alignment horizontal="center" vertical="center"/>
    </xf>
    <xf numFmtId="1" fontId="2" fillId="0" borderId="15" xfId="1" applyNumberFormat="1" applyFont="1" applyFill="1" applyBorder="1" applyAlignment="1">
      <alignment horizontal="center" vertical="center"/>
    </xf>
    <xf numFmtId="4" fontId="3" fillId="0" borderId="14" xfId="1" applyNumberFormat="1" applyFont="1" applyFill="1" applyBorder="1" applyAlignment="1">
      <alignment horizontal="center" vertical="center"/>
    </xf>
    <xf numFmtId="49" fontId="3" fillId="0" borderId="20" xfId="1" applyNumberFormat="1" applyFont="1" applyFill="1" applyBorder="1" applyAlignment="1">
      <alignment horizontal="center" vertical="center"/>
    </xf>
    <xf numFmtId="13" fontId="2" fillId="0" borderId="14" xfId="1" applyNumberFormat="1" applyFont="1" applyFill="1" applyBorder="1" applyAlignment="1">
      <alignment horizontal="center" vertical="center"/>
    </xf>
    <xf numFmtId="2" fontId="4" fillId="0" borderId="14" xfId="1" applyNumberFormat="1" applyFont="1" applyFill="1" applyBorder="1" applyAlignment="1">
      <alignment horizontal="center" vertical="center"/>
    </xf>
    <xf numFmtId="0" fontId="2" fillId="0" borderId="0" xfId="1" applyFont="1" applyFill="1" applyBorder="1" applyAlignment="1">
      <alignment horizontal="center" vertical="center"/>
    </xf>
    <xf numFmtId="0" fontId="2" fillId="0" borderId="0" xfId="1" applyFont="1" applyFill="1" applyBorder="1" applyAlignment="1">
      <alignment horizontal="centerContinuous" vertical="center"/>
    </xf>
    <xf numFmtId="0" fontId="3" fillId="0" borderId="0" xfId="1" applyFont="1" applyFill="1" applyBorder="1" applyAlignment="1">
      <alignment horizontal="center" vertical="center"/>
    </xf>
    <xf numFmtId="4" fontId="2" fillId="0" borderId="0" xfId="1" applyNumberFormat="1" applyFont="1" applyFill="1" applyBorder="1" applyAlignment="1">
      <alignment horizontal="center" vertical="center"/>
    </xf>
    <xf numFmtId="0" fontId="2" fillId="0" borderId="0" xfId="1" applyFont="1" applyFill="1" applyBorder="1" applyAlignment="1">
      <alignment horizontal="right" vertical="center"/>
    </xf>
    <xf numFmtId="0" fontId="3" fillId="0" borderId="0" xfId="1" applyFont="1" applyFill="1" applyBorder="1" applyAlignment="1">
      <alignment horizontal="centerContinuous" vertical="center"/>
    </xf>
    <xf numFmtId="0" fontId="2" fillId="0" borderId="0" xfId="1" applyFont="1" applyFill="1" applyBorder="1" applyAlignment="1">
      <alignment vertical="center"/>
    </xf>
    <xf numFmtId="1" fontId="2" fillId="0" borderId="0" xfId="1" applyNumberFormat="1" applyFont="1" applyFill="1" applyBorder="1" applyAlignment="1">
      <alignment horizontal="center" vertical="center"/>
    </xf>
    <xf numFmtId="0" fontId="2" fillId="0" borderId="0" xfId="1" applyFont="1" applyFill="1" applyBorder="1" applyAlignment="1">
      <alignment horizontal="centerContinuous"/>
    </xf>
    <xf numFmtId="0" fontId="18" fillId="0" borderId="0" xfId="0" applyFont="1" applyAlignment="1">
      <alignment horizontal="center" vertical="center"/>
    </xf>
    <xf numFmtId="0" fontId="19" fillId="2" borderId="28" xfId="0" applyFont="1" applyFill="1" applyBorder="1" applyAlignment="1">
      <alignment horizontal="center" vertical="center"/>
    </xf>
    <xf numFmtId="0" fontId="19" fillId="2" borderId="25" xfId="0" applyFont="1" applyFill="1" applyBorder="1" applyAlignment="1">
      <alignment horizontal="center" vertical="center"/>
    </xf>
    <xf numFmtId="0" fontId="19" fillId="2" borderId="30" xfId="0" applyFont="1" applyFill="1" applyBorder="1" applyAlignment="1">
      <alignment horizontal="center" vertical="center"/>
    </xf>
    <xf numFmtId="0" fontId="18" fillId="0" borderId="31" xfId="0" applyFont="1" applyBorder="1" applyAlignment="1">
      <alignment horizontal="center" vertical="center"/>
    </xf>
    <xf numFmtId="0" fontId="19" fillId="2" borderId="32" xfId="0" applyFont="1" applyFill="1" applyBorder="1" applyAlignment="1">
      <alignment horizontal="center" vertical="center"/>
    </xf>
    <xf numFmtId="0" fontId="18" fillId="0" borderId="33" xfId="0" applyFont="1" applyBorder="1" applyAlignment="1">
      <alignment horizontal="center" vertical="center"/>
    </xf>
    <xf numFmtId="13" fontId="14" fillId="2" borderId="15"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0" borderId="13" xfId="0" applyNumberFormat="1" applyFont="1" applyBorder="1" applyAlignment="1">
      <alignment horizontal="center" vertical="center"/>
    </xf>
    <xf numFmtId="0" fontId="19" fillId="2" borderId="34" xfId="0" applyFont="1" applyFill="1" applyBorder="1" applyAlignment="1">
      <alignment horizontal="center" vertical="center"/>
    </xf>
    <xf numFmtId="0" fontId="18" fillId="0" borderId="35" xfId="0" applyFont="1" applyBorder="1" applyAlignment="1">
      <alignment horizontal="center" vertical="center"/>
    </xf>
    <xf numFmtId="13" fontId="14" fillId="2" borderId="16" xfId="0" applyNumberFormat="1" applyFont="1" applyFill="1" applyBorder="1" applyAlignment="1">
      <alignment horizontal="center" vertical="center"/>
    </xf>
    <xf numFmtId="165" fontId="18" fillId="0" borderId="10" xfId="0" applyNumberFormat="1" applyFont="1" applyBorder="1" applyAlignment="1">
      <alignment horizontal="center" vertical="center"/>
    </xf>
    <xf numFmtId="165" fontId="18" fillId="0" borderId="9" xfId="0" applyNumberFormat="1" applyFont="1" applyBorder="1" applyAlignment="1">
      <alignment horizontal="center" vertical="center"/>
    </xf>
    <xf numFmtId="4" fontId="2" fillId="3" borderId="14" xfId="1" applyNumberFormat="1" applyFont="1" applyFill="1" applyBorder="1" applyAlignment="1">
      <alignment horizontal="center" vertical="center"/>
    </xf>
    <xf numFmtId="12" fontId="2" fillId="3" borderId="14" xfId="1" applyNumberFormat="1" applyFont="1" applyFill="1" applyBorder="1" applyAlignment="1">
      <alignment horizontal="center" vertical="center"/>
    </xf>
    <xf numFmtId="2" fontId="2" fillId="3" borderId="14" xfId="1" applyNumberFormat="1" applyFont="1" applyFill="1" applyBorder="1" applyAlignment="1">
      <alignment horizontal="center" vertical="center"/>
    </xf>
    <xf numFmtId="4" fontId="2" fillId="3" borderId="13" xfId="1" applyNumberFormat="1" applyFont="1" applyFill="1" applyBorder="1" applyAlignment="1">
      <alignment horizontal="center" vertical="center"/>
    </xf>
    <xf numFmtId="0" fontId="18" fillId="4" borderId="0" xfId="0" applyFont="1" applyFill="1" applyAlignment="1">
      <alignment vertical="center"/>
    </xf>
    <xf numFmtId="0" fontId="13" fillId="4" borderId="28" xfId="0" applyFont="1" applyFill="1" applyBorder="1" applyAlignment="1">
      <alignment vertical="center"/>
    </xf>
    <xf numFmtId="0" fontId="13" fillId="4" borderId="27" xfId="0" applyFont="1" applyFill="1" applyBorder="1" applyAlignment="1">
      <alignment vertical="center"/>
    </xf>
    <xf numFmtId="0" fontId="13" fillId="4" borderId="26" xfId="0" applyFont="1" applyFill="1" applyBorder="1" applyAlignment="1">
      <alignment vertical="center"/>
    </xf>
    <xf numFmtId="0" fontId="13" fillId="4" borderId="0" xfId="0" applyFont="1" applyFill="1" applyBorder="1" applyAlignment="1">
      <alignment vertical="center"/>
    </xf>
    <xf numFmtId="0" fontId="13" fillId="4" borderId="12" xfId="0" applyFont="1" applyFill="1" applyBorder="1" applyAlignment="1">
      <alignment vertical="center"/>
    </xf>
    <xf numFmtId="0" fontId="13" fillId="4" borderId="8" xfId="0" applyFont="1" applyFill="1" applyBorder="1" applyAlignment="1">
      <alignment vertical="center"/>
    </xf>
    <xf numFmtId="0" fontId="15" fillId="4" borderId="0" xfId="0" applyFont="1" applyFill="1" applyBorder="1" applyAlignment="1">
      <alignment vertical="center"/>
    </xf>
    <xf numFmtId="0" fontId="18" fillId="4" borderId="12" xfId="0" applyFont="1" applyFill="1" applyBorder="1" applyAlignment="1">
      <alignment vertical="center"/>
    </xf>
    <xf numFmtId="0" fontId="18" fillId="4" borderId="28" xfId="0" applyFont="1" applyFill="1" applyBorder="1" applyAlignment="1">
      <alignment vertical="center"/>
    </xf>
    <xf numFmtId="0" fontId="18" fillId="4" borderId="27" xfId="0" applyFont="1" applyFill="1" applyBorder="1" applyAlignment="1">
      <alignment vertical="center"/>
    </xf>
    <xf numFmtId="0" fontId="18" fillId="4" borderId="26" xfId="0" applyFont="1" applyFill="1" applyBorder="1" applyAlignment="1">
      <alignment vertical="center"/>
    </xf>
    <xf numFmtId="0" fontId="18" fillId="4" borderId="8" xfId="0" applyFont="1" applyFill="1" applyBorder="1" applyAlignment="1">
      <alignment vertical="center"/>
    </xf>
    <xf numFmtId="0" fontId="18" fillId="4" borderId="0" xfId="0" applyFont="1" applyFill="1" applyBorder="1" applyAlignment="1">
      <alignment vertical="center"/>
    </xf>
    <xf numFmtId="0" fontId="22" fillId="4" borderId="12" xfId="0" applyFont="1" applyFill="1" applyBorder="1" applyAlignment="1">
      <alignment vertical="center"/>
    </xf>
    <xf numFmtId="0" fontId="23" fillId="4" borderId="12" xfId="0" applyFont="1" applyFill="1" applyBorder="1" applyAlignment="1">
      <alignment vertical="center"/>
    </xf>
    <xf numFmtId="0" fontId="22" fillId="4" borderId="0" xfId="0" applyFont="1" applyFill="1" applyBorder="1" applyAlignment="1">
      <alignment vertical="center"/>
    </xf>
    <xf numFmtId="0" fontId="22" fillId="4" borderId="8" xfId="0" applyFont="1" applyFill="1" applyBorder="1" applyAlignment="1">
      <alignment vertical="center"/>
    </xf>
    <xf numFmtId="0" fontId="22" fillId="4" borderId="0" xfId="0" applyFont="1" applyFill="1" applyAlignment="1">
      <alignment vertical="center"/>
    </xf>
    <xf numFmtId="0" fontId="23" fillId="4" borderId="0" xfId="0" applyFont="1" applyFill="1" applyBorder="1" applyAlignment="1">
      <alignment vertical="center"/>
    </xf>
    <xf numFmtId="0" fontId="22" fillId="4" borderId="0" xfId="0" applyFont="1" applyFill="1" applyBorder="1" applyAlignment="1">
      <alignment horizontal="center" vertical="center"/>
    </xf>
    <xf numFmtId="0" fontId="22" fillId="4" borderId="12" xfId="0" applyFont="1" applyFill="1" applyBorder="1" applyAlignment="1">
      <alignment horizontal="center" vertical="center"/>
    </xf>
    <xf numFmtId="0" fontId="22" fillId="4" borderId="0" xfId="0" applyFont="1" applyFill="1" applyBorder="1" applyAlignment="1">
      <alignment horizontal="left" vertical="center"/>
    </xf>
    <xf numFmtId="0" fontId="22" fillId="4" borderId="12" xfId="0" applyFont="1" applyFill="1" applyBorder="1" applyAlignment="1">
      <alignment horizontal="left" vertical="center"/>
    </xf>
    <xf numFmtId="0" fontId="18" fillId="4" borderId="12" xfId="0" applyFont="1" applyFill="1" applyBorder="1" applyAlignment="1">
      <alignment horizontal="center" vertical="center"/>
    </xf>
    <xf numFmtId="0" fontId="13" fillId="4" borderId="12" xfId="0" applyFont="1" applyFill="1" applyBorder="1" applyAlignment="1">
      <alignment horizontal="left" vertical="center"/>
    </xf>
    <xf numFmtId="0" fontId="22" fillId="4" borderId="7" xfId="0" applyFont="1" applyFill="1" applyBorder="1" applyAlignment="1">
      <alignment vertical="center"/>
    </xf>
    <xf numFmtId="0" fontId="22" fillId="4" borderId="6" xfId="0" applyFont="1" applyFill="1" applyBorder="1" applyAlignment="1">
      <alignment horizontal="left" vertical="center"/>
    </xf>
    <xf numFmtId="0" fontId="22" fillId="4" borderId="6" xfId="0" applyFont="1" applyFill="1" applyBorder="1" applyAlignment="1">
      <alignment vertical="center"/>
    </xf>
    <xf numFmtId="0" fontId="22" fillId="4" borderId="5" xfId="0" applyFont="1" applyFill="1" applyBorder="1" applyAlignment="1">
      <alignment vertical="center"/>
    </xf>
    <xf numFmtId="0" fontId="18" fillId="4" borderId="7" xfId="0" applyFont="1" applyFill="1" applyBorder="1" applyAlignment="1">
      <alignment vertical="center"/>
    </xf>
    <xf numFmtId="0" fontId="18" fillId="4" borderId="6" xfId="0" applyFont="1" applyFill="1" applyBorder="1" applyAlignment="1">
      <alignment vertical="center"/>
    </xf>
    <xf numFmtId="0" fontId="18" fillId="4" borderId="5" xfId="0" applyFont="1" applyFill="1" applyBorder="1" applyAlignment="1">
      <alignment vertical="center"/>
    </xf>
    <xf numFmtId="1" fontId="13" fillId="0" borderId="0" xfId="5" applyNumberFormat="1" applyFont="1"/>
    <xf numFmtId="0" fontId="13" fillId="0" borderId="0" xfId="5" applyFont="1" applyAlignment="1">
      <alignment horizontal="center"/>
    </xf>
    <xf numFmtId="4" fontId="13" fillId="0" borderId="0" xfId="5" applyNumberFormat="1" applyFont="1" applyAlignment="1">
      <alignment horizontal="center"/>
    </xf>
    <xf numFmtId="49" fontId="13" fillId="0" borderId="0" xfId="5" applyNumberFormat="1" applyFont="1" applyAlignment="1">
      <alignment horizontal="center"/>
    </xf>
    <xf numFmtId="4" fontId="13" fillId="0" borderId="0" xfId="5" applyNumberFormat="1" applyFont="1"/>
    <xf numFmtId="164" fontId="13" fillId="0" borderId="0" xfId="5" applyNumberFormat="1" applyFont="1" applyAlignment="1">
      <alignment horizontal="center"/>
    </xf>
    <xf numFmtId="0" fontId="13" fillId="0" borderId="0" xfId="5" applyFont="1"/>
    <xf numFmtId="0" fontId="14" fillId="0" borderId="4" xfId="5" applyFont="1" applyBorder="1"/>
    <xf numFmtId="0" fontId="13" fillId="0" borderId="2" xfId="5" applyFont="1" applyBorder="1"/>
    <xf numFmtId="0" fontId="14" fillId="0" borderId="2" xfId="5" applyFont="1" applyBorder="1" applyAlignment="1">
      <alignment horizontal="centerContinuous" vertical="center"/>
    </xf>
    <xf numFmtId="0" fontId="13" fillId="0" borderId="2" xfId="5" applyFont="1" applyBorder="1" applyAlignment="1">
      <alignment horizontal="centerContinuous" vertical="center"/>
    </xf>
    <xf numFmtId="0" fontId="13" fillId="0" borderId="2" xfId="5" applyFont="1" applyBorder="1" applyAlignment="1">
      <alignment horizontal="centerContinuous"/>
    </xf>
    <xf numFmtId="0" fontId="13" fillId="0" borderId="1" xfId="5" applyFont="1" applyBorder="1" applyAlignment="1">
      <alignment horizontal="centerContinuous"/>
    </xf>
    <xf numFmtId="1" fontId="15" fillId="0" borderId="0" xfId="5" applyNumberFormat="1" applyFont="1"/>
    <xf numFmtId="0" fontId="15" fillId="0" borderId="0" xfId="5" applyFont="1" applyAlignment="1">
      <alignment horizontal="center"/>
    </xf>
    <xf numFmtId="4" fontId="15" fillId="0" borderId="0" xfId="5" applyNumberFormat="1" applyFont="1" applyAlignment="1">
      <alignment horizontal="center"/>
    </xf>
    <xf numFmtId="49" fontId="15" fillId="0" borderId="0" xfId="5" applyNumberFormat="1" applyFont="1" applyAlignment="1">
      <alignment horizontal="center"/>
    </xf>
    <xf numFmtId="4" fontId="15" fillId="0" borderId="0" xfId="5" applyNumberFormat="1" applyFont="1"/>
    <xf numFmtId="164" fontId="15" fillId="0" borderId="0" xfId="5" applyNumberFormat="1" applyFont="1" applyAlignment="1">
      <alignment horizontal="center"/>
    </xf>
    <xf numFmtId="1" fontId="16" fillId="0" borderId="4" xfId="5" applyNumberFormat="1" applyFont="1" applyBorder="1" applyAlignment="1">
      <alignment vertical="center"/>
    </xf>
    <xf numFmtId="1" fontId="16" fillId="0" borderId="2" xfId="5" applyNumberFormat="1" applyFont="1" applyBorder="1" applyAlignment="1">
      <alignment vertical="center"/>
    </xf>
    <xf numFmtId="0" fontId="15" fillId="0" borderId="2" xfId="5" applyFont="1" applyBorder="1" applyAlignment="1">
      <alignment horizontal="center" vertical="justify"/>
    </xf>
    <xf numFmtId="0" fontId="18" fillId="0" borderId="0" xfId="5" applyFont="1"/>
    <xf numFmtId="0" fontId="14" fillId="0" borderId="4" xfId="5" applyFont="1" applyBorder="1" applyAlignment="1">
      <alignment horizontal="right" vertical="center"/>
    </xf>
    <xf numFmtId="4" fontId="13" fillId="0" borderId="2" xfId="5" applyNumberFormat="1" applyFont="1" applyBorder="1"/>
    <xf numFmtId="1" fontId="17" fillId="0" borderId="2" xfId="5" quotePrefix="1" applyNumberFormat="1" applyFont="1" applyBorder="1" applyAlignment="1">
      <alignment horizontal="center" vertical="center"/>
    </xf>
    <xf numFmtId="4" fontId="14" fillId="0" borderId="2" xfId="5" applyNumberFormat="1" applyFont="1" applyBorder="1" applyAlignment="1">
      <alignment horizontal="center" vertical="center"/>
    </xf>
    <xf numFmtId="3" fontId="17" fillId="0" borderId="1" xfId="5" applyNumberFormat="1" applyFont="1" applyBorder="1" applyAlignment="1">
      <alignment horizontal="center" vertical="center"/>
    </xf>
    <xf numFmtId="1" fontId="16" fillId="0" borderId="28" xfId="5" applyNumberFormat="1" applyFont="1" applyBorder="1" applyAlignment="1">
      <alignment horizontal="centerContinuous" vertical="center"/>
    </xf>
    <xf numFmtId="1" fontId="16" fillId="0" borderId="27" xfId="5" applyNumberFormat="1" applyFont="1" applyBorder="1" applyAlignment="1">
      <alignment horizontal="centerContinuous" vertical="center"/>
    </xf>
    <xf numFmtId="0" fontId="16" fillId="0" borderId="27" xfId="5" applyFont="1" applyBorder="1" applyAlignment="1">
      <alignment horizontal="center" vertical="justify"/>
    </xf>
    <xf numFmtId="4" fontId="16" fillId="0" borderId="27" xfId="5" applyNumberFormat="1" applyFont="1" applyBorder="1" applyAlignment="1">
      <alignment horizontal="center" vertical="center"/>
    </xf>
    <xf numFmtId="49" fontId="16" fillId="0" borderId="27" xfId="5" applyNumberFormat="1" applyFont="1" applyBorder="1" applyAlignment="1">
      <alignment horizontal="center" vertical="center"/>
    </xf>
    <xf numFmtId="4" fontId="16" fillId="0" borderId="27" xfId="5" applyNumberFormat="1" applyFont="1" applyBorder="1" applyAlignment="1">
      <alignment horizontal="centerContinuous" vertical="center"/>
    </xf>
    <xf numFmtId="4" fontId="16" fillId="0" borderId="27" xfId="5" applyNumberFormat="1" applyFont="1" applyBorder="1" applyAlignment="1">
      <alignment horizontal="centerContinuous" vertical="justify"/>
    </xf>
    <xf numFmtId="164" fontId="16" fillId="0" borderId="27" xfId="5" applyNumberFormat="1" applyFont="1" applyBorder="1" applyAlignment="1">
      <alignment horizontal="center" vertical="justify"/>
    </xf>
    <xf numFmtId="4" fontId="16" fillId="0" borderId="27" xfId="5" applyNumberFormat="1" applyFont="1" applyBorder="1" applyAlignment="1">
      <alignment horizontal="center" vertical="justify"/>
    </xf>
    <xf numFmtId="4" fontId="16" fillId="0" borderId="26" xfId="5" applyNumberFormat="1" applyFont="1" applyBorder="1" applyAlignment="1">
      <alignment horizontal="center" vertical="justify"/>
    </xf>
    <xf numFmtId="0" fontId="14" fillId="0" borderId="0" xfId="5" applyFont="1" applyAlignment="1">
      <alignment horizontal="center"/>
    </xf>
    <xf numFmtId="1" fontId="16" fillId="0" borderId="12" xfId="5" applyNumberFormat="1" applyFont="1" applyBorder="1" applyAlignment="1">
      <alignment horizontal="centerContinuous"/>
    </xf>
    <xf numFmtId="1" fontId="16" fillId="0" borderId="0" xfId="5" applyNumberFormat="1" applyFont="1" applyAlignment="1">
      <alignment horizontal="centerContinuous"/>
    </xf>
    <xf numFmtId="0" fontId="16" fillId="0" borderId="0" xfId="5" applyFont="1" applyAlignment="1">
      <alignment horizontal="center"/>
    </xf>
    <xf numFmtId="4" fontId="16" fillId="0" borderId="0" xfId="5" applyNumberFormat="1" applyFont="1" applyAlignment="1">
      <alignment horizontal="center" vertical="center"/>
    </xf>
    <xf numFmtId="49" fontId="16" fillId="0" borderId="0" xfId="5" applyNumberFormat="1" applyFont="1" applyAlignment="1">
      <alignment horizontal="center" vertical="center"/>
    </xf>
    <xf numFmtId="164" fontId="16" fillId="0" borderId="0" xfId="5" applyNumberFormat="1" applyFont="1" applyAlignment="1">
      <alignment horizontal="center" vertical="center"/>
    </xf>
    <xf numFmtId="4" fontId="16" fillId="0" borderId="8" xfId="5" applyNumberFormat="1" applyFont="1" applyBorder="1" applyAlignment="1">
      <alignment horizontal="center" vertical="center"/>
    </xf>
    <xf numFmtId="1" fontId="14" fillId="0" borderId="12" xfId="5" applyNumberFormat="1" applyFont="1" applyBorder="1" applyAlignment="1">
      <alignment horizontal="centerContinuous"/>
    </xf>
    <xf numFmtId="1" fontId="14" fillId="0" borderId="0" xfId="5" applyNumberFormat="1" applyFont="1" applyAlignment="1">
      <alignment horizontal="centerContinuous"/>
    </xf>
    <xf numFmtId="0" fontId="17" fillId="0" borderId="0" xfId="5" applyFont="1" applyAlignment="1">
      <alignment horizontal="left"/>
    </xf>
    <xf numFmtId="4" fontId="14" fillId="0" borderId="0" xfId="5" applyNumberFormat="1" applyFont="1" applyAlignment="1">
      <alignment horizontal="center" vertical="justify"/>
    </xf>
    <xf numFmtId="49" fontId="14" fillId="0" borderId="0" xfId="5" applyNumberFormat="1" applyFont="1" applyAlignment="1">
      <alignment horizontal="center" vertical="justify"/>
    </xf>
    <xf numFmtId="4" fontId="17" fillId="0" borderId="0" xfId="5" applyNumberFormat="1" applyFont="1" applyAlignment="1">
      <alignment horizontal="center" vertical="justify"/>
    </xf>
    <xf numFmtId="164" fontId="14" fillId="0" borderId="0" xfId="5" applyNumberFormat="1" applyFont="1" applyAlignment="1">
      <alignment horizontal="center" vertical="justify"/>
    </xf>
    <xf numFmtId="4" fontId="14" fillId="0" borderId="8" xfId="5" applyNumberFormat="1" applyFont="1" applyBorder="1" applyAlignment="1">
      <alignment horizontal="center" vertical="justify"/>
    </xf>
    <xf numFmtId="1" fontId="13" fillId="0" borderId="12" xfId="5" quotePrefix="1" applyNumberFormat="1" applyFont="1" applyBorder="1" applyAlignment="1">
      <alignment horizontal="left" vertical="center"/>
    </xf>
    <xf numFmtId="1" fontId="13" fillId="0" borderId="0" xfId="5" applyNumberFormat="1" applyFont="1" applyAlignment="1">
      <alignment vertical="center"/>
    </xf>
    <xf numFmtId="4" fontId="20" fillId="0" borderId="0" xfId="5" applyNumberFormat="1" applyFont="1"/>
    <xf numFmtId="164" fontId="18" fillId="0" borderId="0" xfId="5" applyNumberFormat="1" applyFont="1" applyAlignment="1">
      <alignment horizontal="center"/>
    </xf>
    <xf numFmtId="4" fontId="13" fillId="0" borderId="8" xfId="5" applyNumberFormat="1" applyFont="1" applyBorder="1" applyAlignment="1">
      <alignment horizontal="center"/>
    </xf>
    <xf numFmtId="1" fontId="13" fillId="0" borderId="12" xfId="5" applyNumberFormat="1" applyFont="1" applyBorder="1" applyAlignment="1">
      <alignment horizontal="center" vertical="center"/>
    </xf>
    <xf numFmtId="1" fontId="13" fillId="0" borderId="0" xfId="5" applyNumberFormat="1" applyFont="1" applyAlignment="1">
      <alignment horizontal="center" vertical="center"/>
    </xf>
    <xf numFmtId="0" fontId="20" fillId="0" borderId="0" xfId="5" applyFont="1"/>
    <xf numFmtId="0" fontId="20" fillId="0" borderId="0" xfId="5" applyFont="1" applyAlignment="1">
      <alignment horizontal="center"/>
    </xf>
    <xf numFmtId="4" fontId="13" fillId="0" borderId="8" xfId="5" applyNumberFormat="1" applyFont="1" applyBorder="1" applyAlignment="1">
      <alignment horizontal="center" vertical="center"/>
    </xf>
    <xf numFmtId="4" fontId="13" fillId="0" borderId="0" xfId="5" applyNumberFormat="1" applyFont="1" applyAlignment="1">
      <alignment horizontal="center" vertical="center"/>
    </xf>
    <xf numFmtId="0" fontId="13" fillId="0" borderId="0" xfId="5" applyFont="1" applyAlignment="1">
      <alignment horizontal="center" vertical="center"/>
    </xf>
    <xf numFmtId="12" fontId="13" fillId="0" borderId="0" xfId="5" applyNumberFormat="1" applyFont="1" applyAlignment="1">
      <alignment horizontal="center" vertical="center"/>
    </xf>
    <xf numFmtId="4" fontId="13" fillId="0" borderId="0" xfId="5" applyNumberFormat="1" applyFont="1" applyAlignment="1">
      <alignment vertical="center"/>
    </xf>
    <xf numFmtId="164" fontId="13" fillId="0" borderId="0" xfId="5" applyNumberFormat="1" applyFont="1" applyAlignment="1">
      <alignment horizontal="center" vertical="center"/>
    </xf>
    <xf numFmtId="0" fontId="17" fillId="0" borderId="0" xfId="5" applyFont="1" applyAlignment="1">
      <alignment horizontal="left" indent="1"/>
    </xf>
    <xf numFmtId="12" fontId="13" fillId="0" borderId="0" xfId="5" applyNumberFormat="1" applyFont="1" applyAlignment="1">
      <alignment horizontal="centerContinuous" vertical="center"/>
    </xf>
    <xf numFmtId="12" fontId="13" fillId="0" borderId="0" xfId="5" applyNumberFormat="1" applyFont="1" applyAlignment="1">
      <alignment vertical="center"/>
    </xf>
    <xf numFmtId="2" fontId="13" fillId="0" borderId="0" xfId="5" applyNumberFormat="1" applyFont="1"/>
    <xf numFmtId="12" fontId="13" fillId="0" borderId="0" xfId="5" applyNumberFormat="1" applyFont="1" applyAlignment="1">
      <alignment horizontal="left" vertical="center"/>
    </xf>
    <xf numFmtId="2" fontId="20" fillId="0" borderId="0" xfId="4" applyNumberFormat="1" applyFont="1" applyBorder="1" applyAlignment="1">
      <alignment horizontal="center"/>
    </xf>
    <xf numFmtId="4" fontId="13" fillId="0" borderId="0" xfId="5" applyNumberFormat="1" applyFont="1" applyAlignment="1">
      <alignment horizontal="left"/>
    </xf>
    <xf numFmtId="12" fontId="13" fillId="3" borderId="0" xfId="5" applyNumberFormat="1" applyFont="1" applyFill="1" applyAlignment="1">
      <alignment horizontal="center" vertical="center"/>
    </xf>
    <xf numFmtId="0" fontId="17" fillId="0" borderId="0" xfId="5" applyFont="1"/>
    <xf numFmtId="12" fontId="20" fillId="0" borderId="0" xfId="5" applyNumberFormat="1" applyFont="1" applyAlignment="1">
      <alignment horizontal="center" vertical="center"/>
    </xf>
    <xf numFmtId="2" fontId="20" fillId="0" borderId="14" xfId="4" applyNumberFormat="1" applyFont="1" applyBorder="1" applyAlignment="1">
      <alignment horizontal="center"/>
    </xf>
    <xf numFmtId="12" fontId="13" fillId="0" borderId="0" xfId="5" applyNumberFormat="1" applyFont="1" applyAlignment="1">
      <alignment horizontal="right" vertical="center"/>
    </xf>
    <xf numFmtId="2" fontId="13" fillId="0" borderId="0" xfId="5" applyNumberFormat="1" applyFont="1" applyAlignment="1">
      <alignment horizontal="right" vertical="center"/>
    </xf>
    <xf numFmtId="12" fontId="14" fillId="2" borderId="28" xfId="5" applyNumberFormat="1" applyFont="1" applyFill="1" applyBorder="1" applyAlignment="1">
      <alignment horizontal="right" vertical="center"/>
    </xf>
    <xf numFmtId="0" fontId="17" fillId="2" borderId="26" xfId="5" quotePrefix="1" applyFont="1" applyFill="1" applyBorder="1"/>
    <xf numFmtId="12" fontId="14" fillId="2" borderId="12" xfId="5" applyNumberFormat="1" applyFont="1" applyFill="1" applyBorder="1" applyAlignment="1">
      <alignment horizontal="right" vertical="center"/>
    </xf>
    <xf numFmtId="0" fontId="14" fillId="2" borderId="8" xfId="5" applyFont="1" applyFill="1" applyBorder="1"/>
    <xf numFmtId="3" fontId="13" fillId="0" borderId="0" xfId="5" applyNumberFormat="1" applyFont="1" applyAlignment="1">
      <alignment vertical="center"/>
    </xf>
    <xf numFmtId="12" fontId="14" fillId="2" borderId="7" xfId="5" applyNumberFormat="1" applyFont="1" applyFill="1" applyBorder="1" applyAlignment="1">
      <alignment horizontal="right" vertical="center"/>
    </xf>
    <xf numFmtId="0" fontId="14" fillId="2" borderId="5" xfId="5" applyFont="1" applyFill="1" applyBorder="1"/>
    <xf numFmtId="12" fontId="14" fillId="5" borderId="4" xfId="5" applyNumberFormat="1" applyFont="1" applyFill="1" applyBorder="1" applyAlignment="1">
      <alignment horizontal="right" vertical="center"/>
    </xf>
    <xf numFmtId="4" fontId="14" fillId="5" borderId="1" xfId="5" applyNumberFormat="1" applyFont="1" applyFill="1" applyBorder="1" applyAlignment="1">
      <alignment vertical="center"/>
    </xf>
    <xf numFmtId="12" fontId="14" fillId="0" borderId="0" xfId="5" applyNumberFormat="1" applyFont="1" applyAlignment="1">
      <alignment horizontal="center" vertical="center"/>
    </xf>
    <xf numFmtId="2" fontId="17" fillId="0" borderId="0" xfId="5" applyNumberFormat="1" applyFont="1" applyAlignment="1">
      <alignment horizontal="left"/>
    </xf>
    <xf numFmtId="12" fontId="17" fillId="0" borderId="0" xfId="4" applyNumberFormat="1" applyFont="1" applyBorder="1" applyAlignment="1">
      <alignment horizontal="center"/>
    </xf>
    <xf numFmtId="1" fontId="13" fillId="0" borderId="7" xfId="5" applyNumberFormat="1" applyFont="1" applyBorder="1" applyAlignment="1">
      <alignment horizontal="right"/>
    </xf>
    <xf numFmtId="1" fontId="13" fillId="0" borderId="6" xfId="5" applyNumberFormat="1" applyFont="1" applyBorder="1" applyAlignment="1">
      <alignment horizontal="right"/>
    </xf>
    <xf numFmtId="3" fontId="13" fillId="0" borderId="6" xfId="5" applyNumberFormat="1" applyFont="1" applyBorder="1" applyAlignment="1">
      <alignment horizontal="center"/>
    </xf>
    <xf numFmtId="4" fontId="13" fillId="0" borderId="6" xfId="5" applyNumberFormat="1" applyFont="1" applyBorder="1" applyAlignment="1">
      <alignment horizontal="center"/>
    </xf>
    <xf numFmtId="49" fontId="13" fillId="0" borderId="6" xfId="5" applyNumberFormat="1" applyFont="1" applyBorder="1" applyAlignment="1">
      <alignment horizontal="center"/>
    </xf>
    <xf numFmtId="4" fontId="13" fillId="0" borderId="6" xfId="5" applyNumberFormat="1" applyFont="1" applyBorder="1" applyAlignment="1">
      <alignment horizontal="right"/>
    </xf>
    <xf numFmtId="164" fontId="13" fillId="0" borderId="6" xfId="5" applyNumberFormat="1" applyFont="1" applyBorder="1" applyAlignment="1">
      <alignment horizontal="center"/>
    </xf>
    <xf numFmtId="4" fontId="13" fillId="0" borderId="5" xfId="5" applyNumberFormat="1" applyFont="1" applyBorder="1" applyAlignment="1">
      <alignment horizontal="center"/>
    </xf>
    <xf numFmtId="3" fontId="13" fillId="0" borderId="0" xfId="5" applyNumberFormat="1" applyFont="1" applyAlignment="1">
      <alignment horizontal="right"/>
    </xf>
    <xf numFmtId="1" fontId="13" fillId="0" borderId="0" xfId="5" applyNumberFormat="1" applyFont="1" applyAlignment="1">
      <alignment horizontal="right"/>
    </xf>
    <xf numFmtId="3" fontId="13" fillId="0" borderId="0" xfId="5" applyNumberFormat="1" applyFont="1" applyAlignment="1">
      <alignment horizontal="center"/>
    </xf>
    <xf numFmtId="4" fontId="13" fillId="0" borderId="0" xfId="5" applyNumberFormat="1" applyFont="1" applyAlignment="1">
      <alignment horizontal="right"/>
    </xf>
    <xf numFmtId="0" fontId="14" fillId="0" borderId="4" xfId="5" applyFont="1" applyBorder="1" applyAlignment="1">
      <alignment horizontal="left"/>
    </xf>
    <xf numFmtId="0" fontId="14" fillId="0" borderId="2" xfId="5" applyFont="1" applyBorder="1"/>
    <xf numFmtId="0" fontId="14" fillId="0" borderId="3" xfId="5" applyFont="1" applyBorder="1"/>
    <xf numFmtId="0" fontId="14" fillId="0" borderId="1" xfId="5" applyFont="1" applyBorder="1" applyAlignment="1">
      <alignment horizontal="right"/>
    </xf>
    <xf numFmtId="1" fontId="13" fillId="0" borderId="0" xfId="5" applyNumberFormat="1" applyFont="1" applyAlignment="1">
      <alignment horizontal="centerContinuous"/>
    </xf>
    <xf numFmtId="4" fontId="13" fillId="0" borderId="0" xfId="5" applyNumberFormat="1" applyFont="1" applyAlignment="1">
      <alignment horizontal="centerContinuous"/>
    </xf>
    <xf numFmtId="3" fontId="13" fillId="0" borderId="0" xfId="5" applyNumberFormat="1" applyFont="1" applyAlignment="1">
      <alignment horizontal="centerContinuous"/>
    </xf>
    <xf numFmtId="1" fontId="18" fillId="0" borderId="0" xfId="5" applyNumberFormat="1" applyFont="1"/>
    <xf numFmtId="0" fontId="18" fillId="0" borderId="0" xfId="5" applyFont="1" applyAlignment="1">
      <alignment horizontal="center"/>
    </xf>
    <xf numFmtId="4" fontId="18" fillId="0" borderId="0" xfId="5" applyNumberFormat="1" applyFont="1" applyAlignment="1">
      <alignment horizontal="center"/>
    </xf>
    <xf numFmtId="49" fontId="18" fillId="0" borderId="0" xfId="5" applyNumberFormat="1" applyFont="1" applyAlignment="1">
      <alignment horizontal="center"/>
    </xf>
    <xf numFmtId="4" fontId="18" fillId="0" borderId="0" xfId="5" applyNumberFormat="1" applyFont="1"/>
    <xf numFmtId="1" fontId="14" fillId="0" borderId="0" xfId="5" applyNumberFormat="1" applyFont="1"/>
    <xf numFmtId="3" fontId="14" fillId="0" borderId="0" xfId="5" applyNumberFormat="1" applyFont="1" applyAlignment="1">
      <alignment horizontal="center"/>
    </xf>
    <xf numFmtId="4" fontId="14" fillId="0" borderId="0" xfId="5" applyNumberFormat="1" applyFont="1" applyAlignment="1">
      <alignment horizontal="center"/>
    </xf>
    <xf numFmtId="49" fontId="14" fillId="0" borderId="0" xfId="5" applyNumberFormat="1" applyFont="1" applyAlignment="1">
      <alignment horizontal="center"/>
    </xf>
    <xf numFmtId="4" fontId="14" fillId="0" borderId="0" xfId="5" applyNumberFormat="1" applyFont="1"/>
    <xf numFmtId="164" fontId="14" fillId="0" borderId="0" xfId="5" applyNumberFormat="1" applyFont="1" applyAlignment="1">
      <alignment horizontal="center"/>
    </xf>
    <xf numFmtId="3" fontId="14" fillId="0" borderId="0" xfId="5" applyNumberFormat="1" applyFont="1"/>
    <xf numFmtId="49" fontId="20" fillId="0" borderId="0" xfId="0" applyNumberFormat="1" applyFont="1"/>
    <xf numFmtId="1" fontId="2" fillId="6" borderId="15" xfId="1" applyNumberFormat="1" applyFont="1" applyFill="1" applyBorder="1" applyAlignment="1">
      <alignment horizontal="center" vertical="center"/>
    </xf>
    <xf numFmtId="1" fontId="2" fillId="6" borderId="14" xfId="1" applyNumberFormat="1" applyFont="1" applyFill="1" applyBorder="1" applyAlignment="1">
      <alignment horizontal="center" vertical="center"/>
    </xf>
    <xf numFmtId="4" fontId="2" fillId="6" borderId="14" xfId="1" applyNumberFormat="1" applyFont="1" applyFill="1" applyBorder="1" applyAlignment="1">
      <alignment horizontal="center" vertical="center"/>
    </xf>
    <xf numFmtId="12" fontId="2" fillId="6" borderId="14" xfId="1" applyNumberFormat="1" applyFont="1" applyFill="1" applyBorder="1" applyAlignment="1">
      <alignment horizontal="center" vertical="center"/>
    </xf>
    <xf numFmtId="2" fontId="2" fillId="6" borderId="14" xfId="1" applyNumberFormat="1" applyFont="1" applyFill="1" applyBorder="1" applyAlignment="1">
      <alignment horizontal="center" vertical="center"/>
    </xf>
    <xf numFmtId="164" fontId="2" fillId="6" borderId="14" xfId="1" applyNumberFormat="1" applyFont="1" applyFill="1" applyBorder="1" applyAlignment="1">
      <alignment horizontal="center" vertical="center"/>
    </xf>
    <xf numFmtId="1" fontId="3" fillId="0" borderId="15" xfId="1" applyNumberFormat="1" applyFont="1" applyFill="1" applyBorder="1" applyAlignment="1">
      <alignment horizontal="center" vertical="center"/>
    </xf>
    <xf numFmtId="1" fontId="3" fillId="0" borderId="14" xfId="1" applyNumberFormat="1" applyFont="1" applyFill="1" applyBorder="1" applyAlignment="1">
      <alignment horizontal="center" vertical="center"/>
    </xf>
    <xf numFmtId="1" fontId="3" fillId="6" borderId="15" xfId="1" applyNumberFormat="1" applyFont="1" applyFill="1" applyBorder="1" applyAlignment="1">
      <alignment horizontal="center" vertical="center"/>
    </xf>
    <xf numFmtId="1" fontId="3" fillId="6" borderId="14" xfId="1" applyNumberFormat="1" applyFont="1" applyFill="1" applyBorder="1" applyAlignment="1">
      <alignment horizontal="center" vertical="center"/>
    </xf>
    <xf numFmtId="1" fontId="3" fillId="0" borderId="7" xfId="1" applyNumberFormat="1" applyFont="1" applyFill="1" applyBorder="1" applyAlignment="1">
      <alignment horizontal="center" vertical="center"/>
    </xf>
    <xf numFmtId="1" fontId="3" fillId="0" borderId="11" xfId="1" applyNumberFormat="1" applyFont="1" applyFill="1" applyBorder="1" applyAlignment="1">
      <alignment horizontal="center" vertical="center"/>
    </xf>
    <xf numFmtId="4" fontId="3" fillId="7" borderId="13" xfId="1" applyNumberFormat="1" applyFont="1" applyFill="1" applyBorder="1" applyAlignment="1">
      <alignment horizontal="center" vertical="center"/>
    </xf>
    <xf numFmtId="0" fontId="13" fillId="4" borderId="6" xfId="0" applyFont="1" applyFill="1" applyBorder="1" applyAlignment="1">
      <alignment vertical="center"/>
    </xf>
    <xf numFmtId="0" fontId="13" fillId="4" borderId="6" xfId="0" applyFont="1" applyFill="1" applyBorder="1" applyAlignment="1">
      <alignment horizontal="center" vertical="center"/>
    </xf>
    <xf numFmtId="0" fontId="13" fillId="4" borderId="5" xfId="0" applyFont="1" applyFill="1" applyBorder="1" applyAlignment="1">
      <alignment horizontal="center" vertical="center"/>
    </xf>
    <xf numFmtId="0" fontId="12" fillId="4" borderId="12" xfId="0" applyFont="1" applyFill="1" applyBorder="1" applyAlignment="1">
      <alignment vertical="center"/>
    </xf>
    <xf numFmtId="0" fontId="7" fillId="4" borderId="36" xfId="0" applyFont="1" applyFill="1" applyBorder="1" applyAlignment="1">
      <alignment vertical="center"/>
    </xf>
    <xf numFmtId="0" fontId="22" fillId="4" borderId="36" xfId="0" applyFont="1" applyFill="1" applyBorder="1" applyAlignment="1">
      <alignment vertical="center"/>
    </xf>
    <xf numFmtId="0" fontId="2" fillId="4" borderId="0" xfId="1" applyFont="1" applyFill="1" applyBorder="1"/>
    <xf numFmtId="0" fontId="2" fillId="4" borderId="28" xfId="1" applyFont="1" applyFill="1" applyBorder="1"/>
    <xf numFmtId="0" fontId="2" fillId="4" borderId="27" xfId="1" applyFont="1" applyFill="1" applyBorder="1"/>
    <xf numFmtId="0" fontId="2" fillId="4" borderId="26" xfId="1" applyFont="1" applyFill="1" applyBorder="1"/>
    <xf numFmtId="0" fontId="2" fillId="4" borderId="0" xfId="0" applyFont="1" applyFill="1" applyBorder="1" applyAlignment="1">
      <alignment vertical="center"/>
    </xf>
    <xf numFmtId="0" fontId="2" fillId="4" borderId="8" xfId="0" applyFont="1" applyFill="1" applyBorder="1" applyAlignment="1">
      <alignment vertical="center"/>
    </xf>
    <xf numFmtId="0" fontId="2" fillId="4" borderId="6" xfId="0" applyFont="1" applyFill="1" applyBorder="1" applyAlignment="1">
      <alignment horizontal="center" vertical="center"/>
    </xf>
    <xf numFmtId="0" fontId="2" fillId="4" borderId="6" xfId="0" applyFont="1" applyFill="1" applyBorder="1" applyAlignment="1">
      <alignment vertical="center"/>
    </xf>
    <xf numFmtId="0" fontId="2" fillId="4" borderId="5" xfId="0" applyFont="1" applyFill="1" applyBorder="1" applyAlignment="1">
      <alignment horizontal="center" vertical="center"/>
    </xf>
    <xf numFmtId="0" fontId="2" fillId="4" borderId="12" xfId="1" applyFont="1" applyFill="1" applyBorder="1"/>
    <xf numFmtId="0" fontId="6" fillId="4" borderId="0" xfId="1" applyFont="1" applyFill="1" applyBorder="1"/>
    <xf numFmtId="0" fontId="2" fillId="4" borderId="8" xfId="1" applyFont="1" applyFill="1" applyBorder="1"/>
    <xf numFmtId="0" fontId="5" fillId="4" borderId="4" xfId="1" applyFont="1" applyFill="1" applyBorder="1" applyAlignment="1">
      <alignment vertical="center"/>
    </xf>
    <xf numFmtId="0" fontId="3" fillId="4" borderId="4" xfId="1" applyFont="1" applyFill="1" applyBorder="1" applyAlignment="1">
      <alignment horizontal="center" vertical="center"/>
    </xf>
    <xf numFmtId="0" fontId="7" fillId="4" borderId="2" xfId="1" quotePrefix="1" applyNumberFormat="1" applyFont="1" applyFill="1" applyBorder="1" applyAlignment="1">
      <alignment horizontal="center" vertical="center"/>
    </xf>
    <xf numFmtId="4" fontId="3" fillId="4" borderId="2" xfId="1" applyNumberFormat="1" applyFont="1" applyFill="1" applyBorder="1" applyAlignment="1">
      <alignment horizontal="center" vertical="center"/>
    </xf>
    <xf numFmtId="3" fontId="7" fillId="4" borderId="1" xfId="1" applyNumberFormat="1" applyFont="1" applyFill="1" applyBorder="1" applyAlignment="1">
      <alignment horizontal="center" vertical="center"/>
    </xf>
    <xf numFmtId="0" fontId="2" fillId="4" borderId="7" xfId="1" applyFont="1" applyFill="1" applyBorder="1"/>
    <xf numFmtId="0" fontId="5" fillId="4" borderId="6" xfId="1" applyFont="1" applyFill="1" applyBorder="1" applyAlignment="1">
      <alignment vertical="center"/>
    </xf>
    <xf numFmtId="4" fontId="7" fillId="4" borderId="6" xfId="1" applyNumberFormat="1" applyFont="1" applyFill="1" applyBorder="1" applyAlignment="1">
      <alignment horizontal="centerContinuous" vertical="justify"/>
    </xf>
    <xf numFmtId="0" fontId="6" fillId="4" borderId="6" xfId="1" applyFont="1" applyFill="1" applyBorder="1" applyAlignment="1">
      <alignment horizontal="centerContinuous" vertical="justify"/>
    </xf>
    <xf numFmtId="0" fontId="6" fillId="4" borderId="6" xfId="1" applyFont="1" applyFill="1" applyBorder="1"/>
    <xf numFmtId="17" fontId="5" fillId="4" borderId="6" xfId="1" quotePrefix="1" applyNumberFormat="1" applyFont="1" applyFill="1" applyBorder="1" applyAlignment="1">
      <alignment horizontal="center" vertical="center"/>
    </xf>
    <xf numFmtId="0" fontId="2" fillId="4" borderId="5" xfId="1" applyFont="1" applyFill="1" applyBorder="1"/>
    <xf numFmtId="0" fontId="6" fillId="4" borderId="27" xfId="1" applyFont="1" applyFill="1" applyBorder="1"/>
    <xf numFmtId="0" fontId="3" fillId="4" borderId="0" xfId="1" applyFont="1" applyFill="1" applyBorder="1" applyAlignment="1">
      <alignment horizontal="centerContinuous" vertical="center"/>
    </xf>
    <xf numFmtId="0" fontId="3" fillId="4" borderId="0" xfId="1" applyFont="1" applyFill="1" applyBorder="1" applyAlignment="1">
      <alignment horizontal="right" vertical="center"/>
    </xf>
    <xf numFmtId="0" fontId="2" fillId="4" borderId="0" xfId="1" applyFont="1" applyFill="1" applyBorder="1" applyAlignment="1">
      <alignment horizontal="center" vertical="center"/>
    </xf>
    <xf numFmtId="0" fontId="2" fillId="8" borderId="14" xfId="1" applyFont="1" applyFill="1" applyBorder="1" applyAlignment="1">
      <alignment horizontal="center" vertical="center"/>
    </xf>
    <xf numFmtId="0" fontId="1" fillId="4" borderId="0" xfId="1" applyFont="1" applyFill="1" applyBorder="1"/>
    <xf numFmtId="0" fontId="3" fillId="4" borderId="0" xfId="1" applyFont="1" applyFill="1" applyBorder="1"/>
    <xf numFmtId="0" fontId="2" fillId="4" borderId="0" xfId="1" applyFont="1" applyFill="1" applyBorder="1" applyAlignment="1">
      <alignment horizontal="right" vertical="center"/>
    </xf>
    <xf numFmtId="168" fontId="2" fillId="4" borderId="0" xfId="2" applyNumberFormat="1" applyFont="1" applyFill="1" applyBorder="1"/>
    <xf numFmtId="0" fontId="2" fillId="4" borderId="6" xfId="1" applyFont="1" applyFill="1" applyBorder="1"/>
    <xf numFmtId="0" fontId="3" fillId="4" borderId="4" xfId="1" applyFont="1" applyFill="1" applyBorder="1" applyAlignment="1">
      <alignment horizontal="left"/>
    </xf>
    <xf numFmtId="0" fontId="3" fillId="4" borderId="2" xfId="1" applyFont="1" applyFill="1" applyBorder="1"/>
    <xf numFmtId="0" fontId="3" fillId="4" borderId="3" xfId="1" applyFont="1" applyFill="1" applyBorder="1"/>
    <xf numFmtId="0" fontId="2" fillId="0" borderId="0" xfId="1" quotePrefix="1" applyFont="1" applyFill="1" applyBorder="1" applyAlignment="1">
      <alignment horizontal="right"/>
    </xf>
    <xf numFmtId="0" fontId="1" fillId="0" borderId="0" xfId="1" applyFont="1" applyFill="1" applyBorder="1"/>
    <xf numFmtId="0" fontId="1" fillId="0" borderId="0" xfId="1" applyFont="1" applyFill="1" applyBorder="1" applyAlignment="1">
      <alignment horizontal="centerContinuous" vertical="center"/>
    </xf>
    <xf numFmtId="3" fontId="2" fillId="0" borderId="0" xfId="1" applyNumberFormat="1" applyFont="1" applyFill="1" applyBorder="1" applyAlignment="1">
      <alignment horizontal="center" vertical="center"/>
    </xf>
    <xf numFmtId="0" fontId="1" fillId="0" borderId="0" xfId="1" applyFont="1" applyFill="1" applyBorder="1" applyAlignment="1">
      <alignment vertical="center"/>
    </xf>
    <xf numFmtId="2" fontId="2" fillId="0" borderId="0" xfId="1" applyNumberFormat="1" applyFont="1" applyFill="1" applyBorder="1" applyAlignment="1">
      <alignment horizontal="center" vertical="center"/>
    </xf>
    <xf numFmtId="0" fontId="4" fillId="0" borderId="0" xfId="1" applyFont="1" applyFill="1" applyBorder="1" applyAlignment="1">
      <alignment vertical="center"/>
    </xf>
    <xf numFmtId="0" fontId="3" fillId="0" borderId="0" xfId="1" applyFont="1" applyFill="1" applyBorder="1" applyAlignment="1">
      <alignment vertical="center"/>
    </xf>
    <xf numFmtId="0" fontId="2" fillId="0" borderId="0" xfId="1" applyFont="1" applyFill="1" applyBorder="1" applyAlignment="1">
      <alignment horizontal="left" vertical="top"/>
    </xf>
    <xf numFmtId="169" fontId="2" fillId="0" borderId="0" xfId="1" applyNumberFormat="1" applyFont="1" applyFill="1" applyBorder="1" applyAlignment="1">
      <alignment vertical="center"/>
    </xf>
    <xf numFmtId="13" fontId="2" fillId="0" borderId="0" xfId="1" applyNumberFormat="1" applyFont="1" applyFill="1" applyBorder="1" applyAlignment="1">
      <alignment horizontal="center" vertical="center"/>
    </xf>
    <xf numFmtId="170" fontId="3" fillId="0" borderId="0" xfId="1" applyNumberFormat="1" applyFont="1" applyFill="1" applyBorder="1" applyAlignment="1">
      <alignment horizontal="center" vertical="center"/>
    </xf>
    <xf numFmtId="0" fontId="3" fillId="0" borderId="0" xfId="1" applyFont="1" applyFill="1" applyBorder="1" applyAlignment="1">
      <alignment horizontal="left" vertical="center"/>
    </xf>
    <xf numFmtId="0" fontId="3" fillId="0" borderId="0" xfId="1" applyFont="1" applyFill="1"/>
    <xf numFmtId="1" fontId="1" fillId="0" borderId="0" xfId="1" applyNumberFormat="1" applyFont="1" applyFill="1" applyBorder="1"/>
    <xf numFmtId="2" fontId="1" fillId="0" borderId="0" xfId="1" applyNumberFormat="1" applyFont="1" applyFill="1" applyBorder="1" applyAlignment="1">
      <alignment horizontal="center"/>
    </xf>
    <xf numFmtId="4" fontId="1" fillId="0" borderId="0" xfId="1" applyNumberFormat="1" applyFont="1" applyFill="1" applyBorder="1" applyAlignment="1">
      <alignment horizontal="center"/>
    </xf>
    <xf numFmtId="49" fontId="1" fillId="0" borderId="0" xfId="1" applyNumberFormat="1" applyFont="1" applyFill="1" applyBorder="1" applyAlignment="1">
      <alignment horizontal="center"/>
    </xf>
    <xf numFmtId="4" fontId="1" fillId="0" borderId="0" xfId="1" applyNumberFormat="1" applyFont="1" applyFill="1" applyBorder="1"/>
    <xf numFmtId="164" fontId="1" fillId="0" borderId="0" xfId="1" applyNumberFormat="1" applyFont="1" applyFill="1" applyBorder="1" applyAlignment="1">
      <alignment horizontal="center"/>
    </xf>
    <xf numFmtId="2" fontId="2" fillId="4" borderId="0" xfId="1" applyNumberFormat="1" applyFont="1" applyFill="1" applyBorder="1" applyAlignment="1">
      <alignment horizontal="center"/>
    </xf>
    <xf numFmtId="4" fontId="2" fillId="4" borderId="0" xfId="1" applyNumberFormat="1" applyFont="1" applyFill="1" applyBorder="1" applyAlignment="1">
      <alignment horizontal="center"/>
    </xf>
    <xf numFmtId="49" fontId="2" fillId="4" borderId="0" xfId="1" applyNumberFormat="1" applyFont="1" applyFill="1" applyBorder="1" applyAlignment="1">
      <alignment horizontal="center"/>
    </xf>
    <xf numFmtId="164" fontId="2" fillId="4" borderId="0" xfId="1" applyNumberFormat="1" applyFont="1" applyFill="1" applyBorder="1" applyAlignment="1">
      <alignment horizontal="center"/>
    </xf>
    <xf numFmtId="1" fontId="2" fillId="4" borderId="27" xfId="1" applyNumberFormat="1" applyFont="1" applyFill="1" applyBorder="1"/>
    <xf numFmtId="2" fontId="2" fillId="4" borderId="27" xfId="1" applyNumberFormat="1" applyFont="1" applyFill="1" applyBorder="1" applyAlignment="1">
      <alignment horizontal="center"/>
    </xf>
    <xf numFmtId="4" fontId="2" fillId="4" borderId="27" xfId="1" applyNumberFormat="1" applyFont="1" applyFill="1" applyBorder="1" applyAlignment="1">
      <alignment horizontal="center"/>
    </xf>
    <xf numFmtId="49" fontId="2" fillId="4" borderId="27" xfId="1" applyNumberFormat="1" applyFont="1" applyFill="1" applyBorder="1" applyAlignment="1">
      <alignment horizontal="center"/>
    </xf>
    <xf numFmtId="4" fontId="2" fillId="4" borderId="27" xfId="1" applyNumberFormat="1" applyFont="1" applyFill="1" applyBorder="1"/>
    <xf numFmtId="164" fontId="2" fillId="4" borderId="27" xfId="1" applyNumberFormat="1" applyFont="1" applyFill="1" applyBorder="1" applyAlignment="1">
      <alignment horizontal="center"/>
    </xf>
    <xf numFmtId="4" fontId="2" fillId="4" borderId="26" xfId="1" applyNumberFormat="1" applyFont="1" applyFill="1" applyBorder="1" applyAlignment="1">
      <alignment horizontal="center"/>
    </xf>
    <xf numFmtId="1" fontId="6" fillId="4" borderId="0" xfId="1" applyNumberFormat="1" applyFont="1" applyFill="1" applyBorder="1"/>
    <xf numFmtId="2" fontId="6" fillId="4" borderId="0" xfId="1" applyNumberFormat="1" applyFont="1" applyFill="1" applyBorder="1" applyAlignment="1">
      <alignment horizontal="center"/>
    </xf>
    <xf numFmtId="4" fontId="6" fillId="4" borderId="0" xfId="1" applyNumberFormat="1" applyFont="1" applyFill="1" applyBorder="1" applyAlignment="1">
      <alignment horizontal="center"/>
    </xf>
    <xf numFmtId="49" fontId="6" fillId="4" borderId="0" xfId="1" applyNumberFormat="1" applyFont="1" applyFill="1" applyBorder="1" applyAlignment="1">
      <alignment horizontal="center"/>
    </xf>
    <xf numFmtId="4" fontId="6" fillId="4" borderId="0" xfId="1" applyNumberFormat="1" applyFont="1" applyFill="1" applyBorder="1"/>
    <xf numFmtId="164" fontId="6" fillId="4" borderId="0" xfId="1" applyNumberFormat="1" applyFont="1" applyFill="1" applyBorder="1" applyAlignment="1">
      <alignment horizontal="center"/>
    </xf>
    <xf numFmtId="4" fontId="6" fillId="4" borderId="8" xfId="1" applyNumberFormat="1" applyFont="1" applyFill="1" applyBorder="1" applyAlignment="1">
      <alignment horizontal="center"/>
    </xf>
    <xf numFmtId="1" fontId="5" fillId="4" borderId="4" xfId="1" applyNumberFormat="1" applyFont="1" applyFill="1" applyBorder="1" applyAlignment="1">
      <alignment vertical="center"/>
    </xf>
    <xf numFmtId="1" fontId="5" fillId="4" borderId="2" xfId="1" applyNumberFormat="1" applyFont="1" applyFill="1" applyBorder="1" applyAlignment="1">
      <alignment vertical="center"/>
    </xf>
    <xf numFmtId="2" fontId="6" fillId="4" borderId="2" xfId="1" applyNumberFormat="1" applyFont="1" applyFill="1" applyBorder="1" applyAlignment="1">
      <alignment horizontal="center" vertical="justify"/>
    </xf>
    <xf numFmtId="4" fontId="8" fillId="4" borderId="2" xfId="1" applyNumberFormat="1" applyFont="1" applyFill="1" applyBorder="1" applyAlignment="1">
      <alignment horizontal="centerContinuous" vertical="center"/>
    </xf>
    <xf numFmtId="49" fontId="5" fillId="4" borderId="2" xfId="1" applyNumberFormat="1" applyFont="1" applyFill="1" applyBorder="1" applyAlignment="1">
      <alignment horizontal="centerContinuous" vertical="justify"/>
    </xf>
    <xf numFmtId="4" fontId="5" fillId="4" borderId="2" xfId="1" applyNumberFormat="1" applyFont="1" applyFill="1" applyBorder="1" applyAlignment="1">
      <alignment horizontal="centerContinuous" vertical="justify"/>
    </xf>
    <xf numFmtId="4" fontId="5" fillId="4" borderId="1" xfId="1" applyNumberFormat="1" applyFont="1" applyFill="1" applyBorder="1" applyAlignment="1">
      <alignment horizontal="centerContinuous" vertical="justify"/>
    </xf>
    <xf numFmtId="0" fontId="3" fillId="4" borderId="4" xfId="1" applyFont="1" applyFill="1" applyBorder="1" applyAlignment="1">
      <alignment vertical="center"/>
    </xf>
    <xf numFmtId="1" fontId="7" fillId="4" borderId="2" xfId="1" quotePrefix="1" applyNumberFormat="1" applyFont="1" applyFill="1" applyBorder="1" applyAlignment="1">
      <alignment horizontal="center" vertical="center"/>
    </xf>
    <xf numFmtId="3" fontId="7" fillId="4" borderId="8" xfId="1" applyNumberFormat="1" applyFont="1" applyFill="1" applyBorder="1" applyAlignment="1">
      <alignment horizontal="center" vertical="center"/>
    </xf>
    <xf numFmtId="1" fontId="5" fillId="4" borderId="25" xfId="1" applyNumberFormat="1" applyFont="1" applyFill="1" applyBorder="1" applyAlignment="1">
      <alignment horizontal="centerContinuous" vertical="center"/>
    </xf>
    <xf numFmtId="2" fontId="5" fillId="4" borderId="25" xfId="1" applyNumberFormat="1" applyFont="1" applyFill="1" applyBorder="1" applyAlignment="1">
      <alignment horizontal="center" vertical="justify"/>
    </xf>
    <xf numFmtId="4" fontId="5" fillId="4" borderId="25" xfId="1" applyNumberFormat="1" applyFont="1" applyFill="1" applyBorder="1" applyAlignment="1">
      <alignment horizontal="center" vertical="center"/>
    </xf>
    <xf numFmtId="49" fontId="5" fillId="4" borderId="25" xfId="1" applyNumberFormat="1" applyFont="1" applyFill="1" applyBorder="1" applyAlignment="1">
      <alignment horizontal="center" vertical="center"/>
    </xf>
    <xf numFmtId="49" fontId="5" fillId="4" borderId="25" xfId="1" applyNumberFormat="1" applyFont="1" applyFill="1" applyBorder="1" applyAlignment="1">
      <alignment horizontal="center" vertical="justify"/>
    </xf>
    <xf numFmtId="4" fontId="5" fillId="4" borderId="4" xfId="1" applyNumberFormat="1" applyFont="1" applyFill="1" applyBorder="1" applyAlignment="1">
      <alignment horizontal="centerContinuous" vertical="center"/>
    </xf>
    <xf numFmtId="4" fontId="5" fillId="4" borderId="2" xfId="1" applyNumberFormat="1" applyFont="1" applyFill="1" applyBorder="1" applyAlignment="1">
      <alignment horizontal="centerContinuous" vertical="center"/>
    </xf>
    <xf numFmtId="164" fontId="5" fillId="4" borderId="25" xfId="1" applyNumberFormat="1" applyFont="1" applyFill="1" applyBorder="1" applyAlignment="1">
      <alignment horizontal="center" vertical="justify"/>
    </xf>
    <xf numFmtId="4" fontId="5" fillId="4" borderId="25" xfId="1" applyNumberFormat="1" applyFont="1" applyFill="1" applyBorder="1" applyAlignment="1">
      <alignment horizontal="center" vertical="justify"/>
    </xf>
    <xf numFmtId="4" fontId="5" fillId="4" borderId="8" xfId="1" applyNumberFormat="1" applyFont="1" applyFill="1" applyBorder="1" applyAlignment="1">
      <alignment horizontal="center" vertical="justify"/>
    </xf>
    <xf numFmtId="1" fontId="5" fillId="4" borderId="4" xfId="1" applyNumberFormat="1" applyFont="1" applyFill="1" applyBorder="1" applyAlignment="1">
      <alignment horizontal="centerContinuous"/>
    </xf>
    <xf numFmtId="1" fontId="5" fillId="4" borderId="24" xfId="1" applyNumberFormat="1" applyFont="1" applyFill="1" applyBorder="1" applyAlignment="1">
      <alignment horizontal="centerContinuous"/>
    </xf>
    <xf numFmtId="2" fontId="5" fillId="4" borderId="22" xfId="1" applyNumberFormat="1" applyFont="1" applyFill="1" applyBorder="1" applyAlignment="1">
      <alignment horizontal="center"/>
    </xf>
    <xf numFmtId="4" fontId="5" fillId="4" borderId="22" xfId="1" applyNumberFormat="1" applyFont="1" applyFill="1" applyBorder="1" applyAlignment="1">
      <alignment horizontal="center" vertical="center"/>
    </xf>
    <xf numFmtId="49" fontId="5" fillId="4" borderId="22" xfId="1" applyNumberFormat="1" applyFont="1" applyFill="1" applyBorder="1" applyAlignment="1">
      <alignment horizontal="center" vertical="center"/>
    </xf>
    <xf numFmtId="4" fontId="5" fillId="4" borderId="23" xfId="1" applyNumberFormat="1" applyFont="1" applyFill="1" applyBorder="1" applyAlignment="1">
      <alignment horizontal="center" vertical="center"/>
    </xf>
    <xf numFmtId="4" fontId="5" fillId="4" borderId="1" xfId="1" applyNumberFormat="1" applyFont="1" applyFill="1" applyBorder="1" applyAlignment="1">
      <alignment horizontal="center" vertical="center"/>
    </xf>
    <xf numFmtId="164" fontId="5" fillId="4" borderId="22" xfId="1" applyNumberFormat="1" applyFont="1" applyFill="1" applyBorder="1" applyAlignment="1">
      <alignment horizontal="center" vertical="center"/>
    </xf>
    <xf numFmtId="4" fontId="5" fillId="4" borderId="8" xfId="1" applyNumberFormat="1" applyFont="1" applyFill="1" applyBorder="1" applyAlignment="1">
      <alignment horizontal="center" vertical="center"/>
    </xf>
    <xf numFmtId="1" fontId="3" fillId="4" borderId="0" xfId="1" applyNumberFormat="1" applyFont="1" applyFill="1" applyBorder="1" applyAlignment="1">
      <alignment horizontal="centerContinuous"/>
    </xf>
    <xf numFmtId="2" fontId="3" fillId="4" borderId="0" xfId="1" applyNumberFormat="1" applyFont="1" applyFill="1" applyBorder="1" applyAlignment="1">
      <alignment horizontal="center"/>
    </xf>
    <xf numFmtId="4" fontId="3" fillId="4" borderId="0" xfId="1" applyNumberFormat="1" applyFont="1" applyFill="1" applyBorder="1" applyAlignment="1">
      <alignment horizontal="center" vertical="justify"/>
    </xf>
    <xf numFmtId="49" fontId="3" fillId="4" borderId="0" xfId="1" applyNumberFormat="1" applyFont="1" applyFill="1" applyBorder="1" applyAlignment="1">
      <alignment horizontal="center" vertical="justify"/>
    </xf>
    <xf numFmtId="164" fontId="3" fillId="4" borderId="0" xfId="1" applyNumberFormat="1" applyFont="1" applyFill="1" applyBorder="1" applyAlignment="1">
      <alignment horizontal="center" vertical="justify"/>
    </xf>
    <xf numFmtId="4" fontId="3" fillId="4" borderId="8" xfId="1" applyNumberFormat="1" applyFont="1" applyFill="1" applyBorder="1" applyAlignment="1">
      <alignment horizontal="center" vertical="justify"/>
    </xf>
    <xf numFmtId="1" fontId="4" fillId="4" borderId="8" xfId="1" applyNumberFormat="1" applyFont="1" applyFill="1" applyBorder="1" applyAlignment="1">
      <alignment horizontal="center" vertical="center"/>
    </xf>
    <xf numFmtId="49" fontId="2" fillId="4" borderId="12" xfId="1" applyNumberFormat="1" applyFont="1" applyFill="1" applyBorder="1"/>
    <xf numFmtId="3" fontId="2" fillId="4" borderId="0" xfId="1" applyNumberFormat="1" applyFont="1" applyFill="1" applyBorder="1" applyAlignment="1">
      <alignment horizontal="right"/>
    </xf>
    <xf numFmtId="3" fontId="2" fillId="4" borderId="7" xfId="1" applyNumberFormat="1" applyFont="1" applyFill="1" applyBorder="1" applyAlignment="1">
      <alignment horizontal="right"/>
    </xf>
    <xf numFmtId="3" fontId="2" fillId="4" borderId="0" xfId="1" applyNumberFormat="1" applyFont="1" applyFill="1" applyBorder="1" applyAlignment="1">
      <alignment horizontal="centerContinuous"/>
    </xf>
    <xf numFmtId="3" fontId="3" fillId="4" borderId="0" xfId="1" applyNumberFormat="1" applyFont="1" applyFill="1" applyBorder="1"/>
    <xf numFmtId="4" fontId="2" fillId="4" borderId="8" xfId="1" applyNumberFormat="1" applyFont="1" applyFill="1" applyBorder="1" applyAlignment="1">
      <alignment horizontal="center" vertical="center"/>
    </xf>
    <xf numFmtId="4" fontId="2" fillId="4" borderId="5" xfId="1" applyNumberFormat="1" applyFont="1" applyFill="1" applyBorder="1" applyAlignment="1">
      <alignment horizontal="center"/>
    </xf>
    <xf numFmtId="4" fontId="1" fillId="4" borderId="0" xfId="1" applyNumberFormat="1" applyFont="1" applyFill="1" applyBorder="1" applyAlignment="1">
      <alignment horizontal="center"/>
    </xf>
    <xf numFmtId="4" fontId="3" fillId="4" borderId="0" xfId="1" applyNumberFormat="1" applyFont="1" applyFill="1" applyBorder="1" applyAlignment="1">
      <alignment horizontal="center"/>
    </xf>
    <xf numFmtId="2" fontId="2" fillId="4" borderId="10" xfId="1" applyNumberFormat="1" applyFont="1" applyFill="1" applyBorder="1" applyAlignment="1">
      <alignment horizontal="center" vertical="center"/>
    </xf>
    <xf numFmtId="2" fontId="3" fillId="4" borderId="10" xfId="1" applyNumberFormat="1" applyFont="1" applyFill="1" applyBorder="1" applyAlignment="1">
      <alignment horizontal="center" vertical="center"/>
    </xf>
    <xf numFmtId="49" fontId="2" fillId="4" borderId="10" xfId="1" applyNumberFormat="1" applyFont="1" applyFill="1" applyBorder="1" applyAlignment="1">
      <alignment horizontal="center" vertical="center"/>
    </xf>
    <xf numFmtId="4" fontId="2" fillId="4" borderId="10" xfId="1" applyNumberFormat="1" applyFont="1" applyFill="1" applyBorder="1" applyAlignment="1">
      <alignment horizontal="center" vertical="center"/>
    </xf>
    <xf numFmtId="4" fontId="3" fillId="4" borderId="10" xfId="1" applyNumberFormat="1" applyFont="1" applyFill="1" applyBorder="1" applyAlignment="1">
      <alignment vertical="center"/>
    </xf>
    <xf numFmtId="4" fontId="2" fillId="4" borderId="6" xfId="1" applyNumberFormat="1" applyFont="1" applyFill="1" applyBorder="1" applyAlignment="1">
      <alignment vertical="center"/>
    </xf>
    <xf numFmtId="164" fontId="2" fillId="4" borderId="10" xfId="1" applyNumberFormat="1" applyFont="1" applyFill="1" applyBorder="1" applyAlignment="1">
      <alignment horizontal="center" vertical="center"/>
    </xf>
    <xf numFmtId="4" fontId="3" fillId="4" borderId="10" xfId="1" applyNumberFormat="1" applyFont="1" applyFill="1" applyBorder="1" applyAlignment="1">
      <alignment horizontal="center" vertical="center"/>
    </xf>
    <xf numFmtId="4" fontId="2" fillId="4" borderId="9" xfId="1" applyNumberFormat="1" applyFont="1" applyFill="1" applyBorder="1" applyAlignment="1">
      <alignment horizontal="center" vertical="center"/>
    </xf>
    <xf numFmtId="1" fontId="2" fillId="4" borderId="6" xfId="1" applyNumberFormat="1" applyFont="1" applyFill="1" applyBorder="1" applyAlignment="1">
      <alignment horizontal="right"/>
    </xf>
    <xf numFmtId="2" fontId="2" fillId="4" borderId="6" xfId="1" applyNumberFormat="1" applyFont="1" applyFill="1" applyBorder="1" applyAlignment="1">
      <alignment horizontal="center"/>
    </xf>
    <xf numFmtId="4" fontId="2" fillId="4" borderId="6" xfId="1" applyNumberFormat="1" applyFont="1" applyFill="1" applyBorder="1" applyAlignment="1">
      <alignment horizontal="center"/>
    </xf>
    <xf numFmtId="49" fontId="2" fillId="4" borderId="6" xfId="1" applyNumberFormat="1" applyFont="1" applyFill="1" applyBorder="1" applyAlignment="1">
      <alignment horizontal="center"/>
    </xf>
    <xf numFmtId="4" fontId="2" fillId="4" borderId="6" xfId="1" applyNumberFormat="1" applyFont="1" applyFill="1" applyBorder="1" applyAlignment="1">
      <alignment horizontal="right"/>
    </xf>
    <xf numFmtId="164" fontId="2" fillId="4" borderId="6" xfId="1" applyNumberFormat="1" applyFont="1" applyFill="1" applyBorder="1" applyAlignment="1">
      <alignment horizontal="center"/>
    </xf>
    <xf numFmtId="1" fontId="2" fillId="4" borderId="0" xfId="1" applyNumberFormat="1" applyFont="1" applyFill="1" applyBorder="1" applyAlignment="1">
      <alignment horizontal="right"/>
    </xf>
    <xf numFmtId="4" fontId="2" fillId="4" borderId="0" xfId="1" applyNumberFormat="1" applyFont="1" applyFill="1" applyBorder="1" applyAlignment="1">
      <alignment horizontal="right"/>
    </xf>
    <xf numFmtId="0" fontId="0" fillId="4" borderId="0" xfId="0" applyFill="1"/>
    <xf numFmtId="1" fontId="3" fillId="4" borderId="7" xfId="1" applyNumberFormat="1" applyFont="1" applyFill="1" applyBorder="1" applyAlignment="1">
      <alignment horizontal="center" vertical="center"/>
    </xf>
    <xf numFmtId="1" fontId="3" fillId="4" borderId="11" xfId="1" applyNumberFormat="1" applyFont="1" applyFill="1" applyBorder="1" applyAlignment="1">
      <alignment horizontal="center" vertical="center"/>
    </xf>
    <xf numFmtId="4" fontId="2" fillId="4" borderId="8" xfId="1" applyNumberFormat="1" applyFont="1" applyFill="1" applyBorder="1" applyAlignment="1">
      <alignment horizontal="center"/>
    </xf>
    <xf numFmtId="0" fontId="2" fillId="4" borderId="5" xfId="0" applyFont="1" applyFill="1" applyBorder="1" applyAlignment="1">
      <alignment vertical="center"/>
    </xf>
    <xf numFmtId="0" fontId="3" fillId="4" borderId="12" xfId="0" applyFont="1" applyFill="1" applyBorder="1" applyAlignment="1">
      <alignment vertical="center"/>
    </xf>
    <xf numFmtId="0" fontId="0" fillId="0" borderId="0" xfId="0" applyBorder="1"/>
    <xf numFmtId="0" fontId="1" fillId="4" borderId="0" xfId="1" applyFill="1" applyBorder="1"/>
    <xf numFmtId="4" fontId="1" fillId="4" borderId="0" xfId="1" applyNumberFormat="1" applyFill="1" applyBorder="1" applyAlignment="1">
      <alignment horizontal="center"/>
    </xf>
    <xf numFmtId="0" fontId="0" fillId="4" borderId="8" xfId="0" applyFill="1" applyBorder="1"/>
    <xf numFmtId="0" fontId="2" fillId="4" borderId="12" xfId="0" applyFont="1" applyFill="1" applyBorder="1" applyAlignment="1">
      <alignment vertical="center"/>
    </xf>
    <xf numFmtId="3" fontId="2" fillId="4" borderId="12" xfId="1" applyNumberFormat="1" applyFont="1" applyFill="1" applyBorder="1" applyAlignment="1">
      <alignment horizontal="right"/>
    </xf>
    <xf numFmtId="3" fontId="2" fillId="4" borderId="8" xfId="1" applyNumberFormat="1" applyFont="1" applyFill="1" applyBorder="1" applyAlignment="1">
      <alignment horizontal="right"/>
    </xf>
    <xf numFmtId="0" fontId="0" fillId="4" borderId="0" xfId="0" applyFill="1" applyBorder="1"/>
    <xf numFmtId="3" fontId="2" fillId="4" borderId="6" xfId="1" applyNumberFormat="1" applyFont="1" applyFill="1" applyBorder="1" applyAlignment="1">
      <alignment horizontal="right"/>
    </xf>
    <xf numFmtId="3" fontId="2" fillId="4" borderId="5" xfId="1" applyNumberFormat="1" applyFont="1" applyFill="1" applyBorder="1" applyAlignment="1">
      <alignment horizontal="right"/>
    </xf>
    <xf numFmtId="4" fontId="29" fillId="4" borderId="2" xfId="1" applyNumberFormat="1" applyFont="1" applyFill="1" applyBorder="1" applyAlignment="1">
      <alignment horizontal="centerContinuous" vertical="center"/>
    </xf>
    <xf numFmtId="1" fontId="2" fillId="4" borderId="0" xfId="1" applyNumberFormat="1" applyFont="1" applyFill="1" applyBorder="1" applyAlignment="1">
      <alignment horizontal="center"/>
    </xf>
    <xf numFmtId="0" fontId="2" fillId="4" borderId="0" xfId="1" applyFont="1" applyFill="1" applyBorder="1" applyAlignment="1">
      <alignment horizontal="centerContinuous"/>
    </xf>
    <xf numFmtId="4" fontId="2" fillId="4" borderId="14" xfId="1" applyNumberFormat="1" applyFont="1" applyFill="1" applyBorder="1" applyAlignment="1">
      <alignment horizontal="center" vertical="center"/>
    </xf>
    <xf numFmtId="0" fontId="2" fillId="4" borderId="0" xfId="1" applyFont="1" applyFill="1" applyBorder="1" applyAlignment="1">
      <alignment vertical="center"/>
    </xf>
    <xf numFmtId="4" fontId="2" fillId="4" borderId="21" xfId="1" applyNumberFormat="1" applyFont="1" applyFill="1" applyBorder="1" applyAlignment="1">
      <alignment horizontal="center" vertical="center"/>
    </xf>
    <xf numFmtId="0" fontId="2" fillId="4" borderId="14" xfId="1" applyFont="1" applyFill="1" applyBorder="1" applyAlignment="1">
      <alignment horizontal="center" vertical="center"/>
    </xf>
    <xf numFmtId="0" fontId="2" fillId="4" borderId="0" xfId="1" applyFont="1" applyFill="1" applyBorder="1" applyAlignment="1">
      <alignment horizontal="left" vertical="center"/>
    </xf>
    <xf numFmtId="0" fontId="2" fillId="4" borderId="21" xfId="1" applyFont="1" applyFill="1" applyBorder="1" applyAlignment="1">
      <alignment horizontal="center" vertical="center"/>
    </xf>
    <xf numFmtId="1" fontId="2" fillId="4" borderId="0" xfId="1" applyNumberFormat="1" applyFont="1" applyFill="1" applyBorder="1" applyAlignment="1">
      <alignment horizontal="right" vertical="center"/>
    </xf>
    <xf numFmtId="1" fontId="2" fillId="4" borderId="0" xfId="1" applyNumberFormat="1" applyFont="1" applyFill="1" applyBorder="1" applyAlignment="1">
      <alignment horizontal="center" vertical="center"/>
    </xf>
    <xf numFmtId="1" fontId="2" fillId="4" borderId="0" xfId="1" applyNumberFormat="1" applyFont="1" applyFill="1" applyBorder="1" applyAlignment="1">
      <alignment vertical="center"/>
    </xf>
    <xf numFmtId="1" fontId="2" fillId="4" borderId="21" xfId="1" applyNumberFormat="1" applyFont="1" applyFill="1" applyBorder="1" applyAlignment="1">
      <alignment vertical="center"/>
    </xf>
    <xf numFmtId="2" fontId="2" fillId="4" borderId="14" xfId="1" applyNumberFormat="1" applyFont="1" applyFill="1" applyBorder="1" applyAlignment="1">
      <alignment horizontal="center" vertical="center"/>
    </xf>
    <xf numFmtId="1" fontId="2" fillId="4" borderId="0" xfId="1" applyNumberFormat="1" applyFont="1" applyFill="1" applyBorder="1" applyAlignment="1">
      <alignment horizontal="left" vertical="center"/>
    </xf>
    <xf numFmtId="0" fontId="1" fillId="4" borderId="0" xfId="1" applyFill="1" applyBorder="1" applyAlignment="1">
      <alignment vertical="center"/>
    </xf>
    <xf numFmtId="164" fontId="2" fillId="4" borderId="14" xfId="1" applyNumberFormat="1" applyFont="1" applyFill="1" applyBorder="1" applyAlignment="1">
      <alignment horizontal="center" vertical="center"/>
    </xf>
    <xf numFmtId="164" fontId="2" fillId="4" borderId="21" xfId="1" applyNumberFormat="1" applyFont="1" applyFill="1" applyBorder="1" applyAlignment="1">
      <alignment horizontal="center" vertical="center"/>
    </xf>
    <xf numFmtId="0" fontId="2" fillId="4" borderId="0" xfId="1" applyFont="1" applyFill="1" applyBorder="1" applyAlignment="1">
      <alignment horizontal="centerContinuous" vertical="center"/>
    </xf>
    <xf numFmtId="0" fontId="2" fillId="4" borderId="0" xfId="1" applyFont="1" applyFill="1" applyBorder="1" applyAlignment="1">
      <alignment horizontal="center"/>
    </xf>
    <xf numFmtId="0" fontId="12" fillId="4" borderId="0" xfId="1" applyFont="1" applyFill="1" applyBorder="1" applyAlignment="1">
      <alignment horizontal="centerContinuous" vertical="center"/>
    </xf>
    <xf numFmtId="166" fontId="12" fillId="4" borderId="14" xfId="1" applyNumberFormat="1" applyFont="1" applyFill="1" applyBorder="1" applyAlignment="1">
      <alignment horizontal="center" vertical="center"/>
    </xf>
    <xf numFmtId="0" fontId="2" fillId="4" borderId="0" xfId="1" applyFont="1" applyFill="1" applyBorder="1" applyAlignment="1">
      <alignment horizontal="right"/>
    </xf>
    <xf numFmtId="0" fontId="2" fillId="4" borderId="21" xfId="1" applyFont="1" applyFill="1" applyBorder="1" applyAlignment="1">
      <alignment horizontal="centerContinuous" vertical="center"/>
    </xf>
    <xf numFmtId="166" fontId="2" fillId="4" borderId="21" xfId="1" applyNumberFormat="1" applyFont="1" applyFill="1" applyBorder="1" applyAlignment="1">
      <alignment horizontal="center" vertical="center"/>
    </xf>
    <xf numFmtId="166" fontId="2" fillId="4" borderId="0" xfId="1" applyNumberFormat="1" applyFont="1" applyFill="1" applyBorder="1" applyAlignment="1">
      <alignment horizontal="center" vertical="center"/>
    </xf>
    <xf numFmtId="4" fontId="2" fillId="4" borderId="0" xfId="1" applyNumberFormat="1" applyFont="1" applyFill="1" applyBorder="1" applyAlignment="1">
      <alignment horizontal="center" vertical="center"/>
    </xf>
    <xf numFmtId="166" fontId="3" fillId="4" borderId="14" xfId="1" applyNumberFormat="1" applyFont="1" applyFill="1" applyBorder="1" applyAlignment="1">
      <alignment horizontal="center" vertical="center"/>
    </xf>
    <xf numFmtId="0" fontId="3" fillId="4" borderId="0" xfId="1" applyFont="1" applyFill="1" applyBorder="1" applyAlignment="1">
      <alignment horizontal="center" vertical="center"/>
    </xf>
    <xf numFmtId="1" fontId="2" fillId="4" borderId="0" xfId="1" applyNumberFormat="1" applyFont="1" applyFill="1" applyBorder="1" applyAlignment="1">
      <alignment horizontal="centerContinuous" vertical="center"/>
    </xf>
    <xf numFmtId="1" fontId="11" fillId="4" borderId="21" xfId="1" applyNumberFormat="1" applyFont="1" applyFill="1" applyBorder="1" applyAlignment="1">
      <alignment horizontal="center" vertical="center"/>
    </xf>
    <xf numFmtId="1" fontId="11" fillId="4" borderId="21" xfId="1" applyNumberFormat="1" applyFont="1" applyFill="1" applyBorder="1" applyAlignment="1">
      <alignment horizontal="centerContinuous" vertical="center"/>
    </xf>
    <xf numFmtId="2" fontId="3" fillId="4" borderId="2" xfId="1" applyNumberFormat="1" applyFont="1" applyFill="1" applyBorder="1"/>
    <xf numFmtId="2" fontId="2" fillId="4" borderId="1" xfId="1" applyNumberFormat="1" applyFont="1" applyFill="1" applyBorder="1" applyAlignment="1">
      <alignment horizontal="center"/>
    </xf>
    <xf numFmtId="4" fontId="2" fillId="9" borderId="14" xfId="1" applyNumberFormat="1" applyFont="1" applyFill="1" applyBorder="1" applyAlignment="1">
      <alignment horizontal="center" vertical="center"/>
    </xf>
    <xf numFmtId="0" fontId="2" fillId="9" borderId="14" xfId="1" applyFont="1" applyFill="1" applyBorder="1" applyAlignment="1">
      <alignment horizontal="center" vertical="center"/>
    </xf>
    <xf numFmtId="13" fontId="2" fillId="9" borderId="14" xfId="1" applyNumberFormat="1" applyFont="1" applyFill="1" applyBorder="1" applyAlignment="1">
      <alignment horizontal="center" vertical="center"/>
    </xf>
    <xf numFmtId="1" fontId="2" fillId="9" borderId="14" xfId="1" applyNumberFormat="1" applyFont="1" applyFill="1" applyBorder="1" applyAlignment="1">
      <alignment horizontal="center" vertical="center"/>
    </xf>
    <xf numFmtId="0" fontId="3" fillId="4" borderId="0" xfId="0" applyFont="1" applyFill="1" applyBorder="1" applyAlignment="1">
      <alignment vertical="center"/>
    </xf>
    <xf numFmtId="0" fontId="3" fillId="4" borderId="28" xfId="0" applyFont="1" applyFill="1" applyBorder="1" applyAlignment="1">
      <alignment vertical="center"/>
    </xf>
    <xf numFmtId="0" fontId="3" fillId="4" borderId="27" xfId="0" applyFont="1" applyFill="1" applyBorder="1" applyAlignment="1">
      <alignment vertical="center"/>
    </xf>
    <xf numFmtId="0" fontId="2" fillId="4" borderId="27" xfId="0" applyFont="1" applyFill="1" applyBorder="1" applyAlignment="1">
      <alignment vertical="center"/>
    </xf>
    <xf numFmtId="0" fontId="3" fillId="4" borderId="7" xfId="0" applyFont="1" applyFill="1" applyBorder="1" applyAlignment="1">
      <alignment vertical="center"/>
    </xf>
    <xf numFmtId="0" fontId="3" fillId="4" borderId="6" xfId="0" applyFont="1" applyFill="1" applyBorder="1" applyAlignment="1">
      <alignment vertical="center"/>
    </xf>
    <xf numFmtId="1" fontId="3" fillId="4" borderId="4" xfId="1" applyNumberFormat="1" applyFont="1" applyFill="1" applyBorder="1" applyAlignment="1">
      <alignment vertical="center"/>
    </xf>
    <xf numFmtId="1" fontId="3" fillId="4" borderId="2" xfId="1" applyNumberFormat="1" applyFont="1" applyFill="1" applyBorder="1" applyAlignment="1">
      <alignment vertical="center"/>
    </xf>
    <xf numFmtId="2" fontId="2" fillId="4" borderId="2" xfId="1" applyNumberFormat="1" applyFont="1" applyFill="1" applyBorder="1" applyAlignment="1">
      <alignment horizontal="center" vertical="justify"/>
    </xf>
    <xf numFmtId="4" fontId="3" fillId="4" borderId="2" xfId="1" applyNumberFormat="1" applyFont="1" applyFill="1" applyBorder="1" applyAlignment="1">
      <alignment horizontal="centerContinuous" vertical="center"/>
    </xf>
    <xf numFmtId="49" fontId="3" fillId="4" borderId="2" xfId="1" applyNumberFormat="1" applyFont="1" applyFill="1" applyBorder="1" applyAlignment="1">
      <alignment horizontal="centerContinuous" vertical="justify"/>
    </xf>
    <xf numFmtId="4" fontId="3" fillId="4" borderId="2" xfId="1" applyNumberFormat="1" applyFont="1" applyFill="1" applyBorder="1" applyAlignment="1">
      <alignment horizontal="centerContinuous" vertical="justify"/>
    </xf>
    <xf numFmtId="4" fontId="3" fillId="4" borderId="1" xfId="1" applyNumberFormat="1" applyFont="1" applyFill="1" applyBorder="1" applyAlignment="1">
      <alignment horizontal="centerContinuous" vertical="justify"/>
    </xf>
    <xf numFmtId="1" fontId="3" fillId="4" borderId="2" xfId="1" quotePrefix="1" applyNumberFormat="1" applyFont="1" applyFill="1" applyBorder="1" applyAlignment="1">
      <alignment horizontal="center" vertical="center"/>
    </xf>
    <xf numFmtId="3" fontId="3" fillId="4" borderId="1" xfId="1" applyNumberFormat="1" applyFont="1" applyFill="1" applyBorder="1" applyAlignment="1">
      <alignment horizontal="center" vertical="center"/>
    </xf>
    <xf numFmtId="1" fontId="29" fillId="4" borderId="25" xfId="1" applyNumberFormat="1" applyFont="1" applyFill="1" applyBorder="1" applyAlignment="1">
      <alignment horizontal="centerContinuous" vertical="center"/>
    </xf>
    <xf numFmtId="4" fontId="29" fillId="4" borderId="25" xfId="1" applyNumberFormat="1" applyFont="1" applyFill="1" applyBorder="1" applyAlignment="1">
      <alignment horizontal="center" vertical="center"/>
    </xf>
    <xf numFmtId="49" fontId="29" fillId="4" borderId="25" xfId="1" applyNumberFormat="1" applyFont="1" applyFill="1" applyBorder="1" applyAlignment="1">
      <alignment horizontal="center" vertical="center"/>
    </xf>
    <xf numFmtId="49" fontId="29" fillId="4" borderId="25" xfId="1" applyNumberFormat="1" applyFont="1" applyFill="1" applyBorder="1" applyAlignment="1">
      <alignment horizontal="center" vertical="justify"/>
    </xf>
    <xf numFmtId="4" fontId="29" fillId="4" borderId="4" xfId="1" applyNumberFormat="1" applyFont="1" applyFill="1" applyBorder="1" applyAlignment="1">
      <alignment horizontal="centerContinuous" vertical="center"/>
    </xf>
    <xf numFmtId="4" fontId="29" fillId="4" borderId="2" xfId="1" applyNumberFormat="1" applyFont="1" applyFill="1" applyBorder="1" applyAlignment="1">
      <alignment horizontal="centerContinuous" vertical="justify"/>
    </xf>
    <xf numFmtId="4" fontId="29" fillId="4" borderId="1" xfId="1" applyNumberFormat="1" applyFont="1" applyFill="1" applyBorder="1" applyAlignment="1">
      <alignment horizontal="centerContinuous" vertical="justify"/>
    </xf>
    <xf numFmtId="164" fontId="29" fillId="4" borderId="25" xfId="1" applyNumberFormat="1" applyFont="1" applyFill="1" applyBorder="1" applyAlignment="1">
      <alignment horizontal="center" vertical="justify"/>
    </xf>
    <xf numFmtId="4" fontId="29" fillId="4" borderId="25" xfId="1" applyNumberFormat="1" applyFont="1" applyFill="1" applyBorder="1" applyAlignment="1">
      <alignment horizontal="center" vertical="justify"/>
    </xf>
    <xf numFmtId="1" fontId="29" fillId="4" borderId="4" xfId="1" applyNumberFormat="1" applyFont="1" applyFill="1" applyBorder="1" applyAlignment="1">
      <alignment horizontal="centerContinuous"/>
    </xf>
    <xf numFmtId="1" fontId="29" fillId="4" borderId="24" xfId="1" applyNumberFormat="1" applyFont="1" applyFill="1" applyBorder="1" applyAlignment="1">
      <alignment horizontal="centerContinuous"/>
    </xf>
    <xf numFmtId="4" fontId="29" fillId="4" borderId="22" xfId="1" applyNumberFormat="1" applyFont="1" applyFill="1" applyBorder="1" applyAlignment="1">
      <alignment horizontal="center" vertical="center"/>
    </xf>
    <xf numFmtId="49" fontId="29" fillId="4" borderId="22" xfId="1" applyNumberFormat="1" applyFont="1" applyFill="1" applyBorder="1" applyAlignment="1">
      <alignment horizontal="center" vertical="center"/>
    </xf>
    <xf numFmtId="4" fontId="29" fillId="4" borderId="23" xfId="1" applyNumberFormat="1" applyFont="1" applyFill="1" applyBorder="1" applyAlignment="1">
      <alignment horizontal="center" vertical="center"/>
    </xf>
    <xf numFmtId="4" fontId="29" fillId="4" borderId="1" xfId="1" applyNumberFormat="1" applyFont="1" applyFill="1" applyBorder="1" applyAlignment="1">
      <alignment horizontal="center" vertical="center"/>
    </xf>
    <xf numFmtId="164" fontId="29" fillId="4" borderId="22" xfId="1" applyNumberFormat="1" applyFont="1" applyFill="1" applyBorder="1" applyAlignment="1">
      <alignment horizontal="center" vertical="center"/>
    </xf>
    <xf numFmtId="2" fontId="32" fillId="0" borderId="14" xfId="1" applyNumberFormat="1" applyFont="1" applyFill="1" applyBorder="1" applyAlignment="1">
      <alignment horizontal="center" vertical="center"/>
    </xf>
    <xf numFmtId="1" fontId="33" fillId="0" borderId="15" xfId="1" applyNumberFormat="1" applyFont="1" applyFill="1" applyBorder="1" applyAlignment="1">
      <alignment horizontal="center" vertical="center"/>
    </xf>
    <xf numFmtId="1" fontId="33" fillId="0" borderId="14" xfId="1" applyNumberFormat="1" applyFont="1" applyFill="1" applyBorder="1" applyAlignment="1">
      <alignment horizontal="center" vertical="center"/>
    </xf>
    <xf numFmtId="4" fontId="32" fillId="0" borderId="14" xfId="1" applyNumberFormat="1" applyFont="1" applyFill="1" applyBorder="1" applyAlignment="1">
      <alignment horizontal="center" vertical="center"/>
    </xf>
    <xf numFmtId="13" fontId="32" fillId="0" borderId="14" xfId="1" applyNumberFormat="1" applyFont="1" applyFill="1" applyBorder="1" applyAlignment="1">
      <alignment horizontal="center" vertical="center"/>
    </xf>
    <xf numFmtId="49" fontId="33" fillId="0" borderId="20" xfId="1" applyNumberFormat="1" applyFont="1" applyFill="1" applyBorder="1" applyAlignment="1">
      <alignment horizontal="center" vertical="center"/>
    </xf>
    <xf numFmtId="4" fontId="32" fillId="0" borderId="14" xfId="1" applyNumberFormat="1" applyFont="1" applyFill="1" applyBorder="1" applyAlignment="1">
      <alignment vertical="center"/>
    </xf>
    <xf numFmtId="164" fontId="32" fillId="0" borderId="14" xfId="1" applyNumberFormat="1" applyFont="1" applyFill="1" applyBorder="1" applyAlignment="1">
      <alignment horizontal="center" vertical="center"/>
    </xf>
    <xf numFmtId="4" fontId="33" fillId="0" borderId="14" xfId="1" applyNumberFormat="1" applyFont="1" applyFill="1" applyBorder="1" applyAlignment="1">
      <alignment horizontal="center" vertical="center"/>
    </xf>
    <xf numFmtId="4" fontId="32" fillId="3" borderId="13" xfId="1" applyNumberFormat="1" applyFont="1" applyFill="1" applyBorder="1" applyAlignment="1">
      <alignment horizontal="center" vertical="center"/>
    </xf>
    <xf numFmtId="1" fontId="32" fillId="0" borderId="14" xfId="1" applyNumberFormat="1" applyFont="1" applyFill="1" applyBorder="1" applyAlignment="1">
      <alignment horizontal="center" vertical="center"/>
    </xf>
    <xf numFmtId="4" fontId="32" fillId="3" borderId="14" xfId="1" applyNumberFormat="1" applyFont="1" applyFill="1" applyBorder="1" applyAlignment="1">
      <alignment horizontal="center" vertical="center"/>
    </xf>
    <xf numFmtId="12" fontId="32" fillId="3" borderId="14" xfId="1" applyNumberFormat="1" applyFont="1" applyFill="1" applyBorder="1" applyAlignment="1">
      <alignment horizontal="center" vertical="center"/>
    </xf>
    <xf numFmtId="2" fontId="32" fillId="3" borderId="14" xfId="1" applyNumberFormat="1" applyFont="1" applyFill="1" applyBorder="1" applyAlignment="1">
      <alignment horizontal="center" vertical="center"/>
    </xf>
    <xf numFmtId="4" fontId="32" fillId="0" borderId="13" xfId="1" applyNumberFormat="1" applyFont="1" applyFill="1" applyBorder="1" applyAlignment="1">
      <alignment horizontal="center" vertical="center"/>
    </xf>
    <xf numFmtId="1" fontId="33" fillId="0" borderId="7" xfId="1" applyNumberFormat="1" applyFont="1" applyFill="1" applyBorder="1" applyAlignment="1">
      <alignment horizontal="center" vertical="center"/>
    </xf>
    <xf numFmtId="1" fontId="33" fillId="0" borderId="11" xfId="1" applyNumberFormat="1" applyFont="1" applyFill="1" applyBorder="1" applyAlignment="1">
      <alignment horizontal="center" vertical="center"/>
    </xf>
    <xf numFmtId="2" fontId="32" fillId="0" borderId="10" xfId="1" applyNumberFormat="1" applyFont="1" applyFill="1" applyBorder="1" applyAlignment="1">
      <alignment horizontal="center" vertical="center"/>
    </xf>
    <xf numFmtId="49" fontId="32" fillId="0" borderId="10" xfId="1" applyNumberFormat="1" applyFont="1" applyFill="1" applyBorder="1" applyAlignment="1">
      <alignment horizontal="center" vertical="center"/>
    </xf>
    <xf numFmtId="4" fontId="32" fillId="0" borderId="10" xfId="1" applyNumberFormat="1" applyFont="1" applyFill="1" applyBorder="1" applyAlignment="1">
      <alignment horizontal="center" vertical="center"/>
    </xf>
    <xf numFmtId="4" fontId="32" fillId="0" borderId="6" xfId="1" applyNumberFormat="1" applyFont="1" applyFill="1" applyBorder="1" applyAlignment="1">
      <alignment vertical="center"/>
    </xf>
    <xf numFmtId="164" fontId="32" fillId="0" borderId="10" xfId="1" applyNumberFormat="1" applyFont="1" applyFill="1" applyBorder="1" applyAlignment="1">
      <alignment horizontal="center" vertical="center"/>
    </xf>
    <xf numFmtId="4" fontId="32" fillId="0" borderId="9" xfId="1" applyNumberFormat="1" applyFont="1" applyFill="1" applyBorder="1" applyAlignment="1">
      <alignment horizontal="center" vertical="center"/>
    </xf>
    <xf numFmtId="4" fontId="33" fillId="9" borderId="10" xfId="1" applyNumberFormat="1" applyFont="1" applyFill="1" applyBorder="1" applyAlignment="1">
      <alignment horizontal="center" vertical="center"/>
    </xf>
    <xf numFmtId="4" fontId="33" fillId="9" borderId="10" xfId="1" applyNumberFormat="1" applyFont="1" applyFill="1" applyBorder="1" applyAlignment="1">
      <alignment vertical="center"/>
    </xf>
    <xf numFmtId="2" fontId="33" fillId="9" borderId="10" xfId="1" applyNumberFormat="1" applyFont="1" applyFill="1" applyBorder="1" applyAlignment="1">
      <alignment horizontal="center" vertical="center"/>
    </xf>
    <xf numFmtId="0" fontId="7" fillId="4" borderId="4" xfId="1" applyFont="1" applyFill="1" applyBorder="1" applyAlignment="1">
      <alignment vertical="center"/>
    </xf>
    <xf numFmtId="0" fontId="4" fillId="4" borderId="2" xfId="1" applyFont="1" applyFill="1" applyBorder="1" applyAlignment="1">
      <alignment vertical="justify"/>
    </xf>
    <xf numFmtId="0" fontId="4" fillId="4" borderId="0" xfId="1" applyFont="1" applyFill="1" applyBorder="1"/>
    <xf numFmtId="4" fontId="7" fillId="4" borderId="2" xfId="1" applyNumberFormat="1" applyFont="1" applyFill="1" applyBorder="1" applyAlignment="1">
      <alignment horizontal="center" vertical="center"/>
    </xf>
    <xf numFmtId="0" fontId="4" fillId="4" borderId="36" xfId="0" applyFont="1" applyFill="1" applyBorder="1" applyAlignment="1">
      <alignment vertical="center"/>
    </xf>
    <xf numFmtId="0" fontId="7" fillId="4" borderId="36" xfId="0" applyFont="1" applyFill="1" applyBorder="1" applyAlignment="1">
      <alignment horizontal="center" vertical="center"/>
    </xf>
    <xf numFmtId="0" fontId="11" fillId="4" borderId="6" xfId="1" applyFont="1" applyFill="1" applyBorder="1" applyAlignment="1">
      <alignment horizontal="centerContinuous" vertical="center"/>
    </xf>
    <xf numFmtId="0" fontId="2" fillId="4" borderId="38" xfId="1" applyFont="1" applyFill="1" applyBorder="1"/>
    <xf numFmtId="0" fontId="2" fillId="0" borderId="0" xfId="1" applyFont="1" applyFill="1" applyBorder="1" applyAlignment="1">
      <alignment horizontal="left"/>
    </xf>
    <xf numFmtId="0" fontId="2" fillId="4" borderId="0" xfId="0" applyFont="1" applyFill="1" applyBorder="1" applyAlignment="1">
      <alignment horizontal="left" vertical="center"/>
    </xf>
    <xf numFmtId="3" fontId="2" fillId="0" borderId="0" xfId="1" applyNumberFormat="1" applyFont="1" applyFill="1" applyBorder="1" applyAlignment="1">
      <alignment horizontal="left"/>
    </xf>
    <xf numFmtId="0" fontId="1" fillId="0" borderId="0" xfId="1" applyFont="1" applyFill="1" applyBorder="1" applyAlignment="1">
      <alignment horizontal="left"/>
    </xf>
    <xf numFmtId="3" fontId="3" fillId="0" borderId="0" xfId="1" applyNumberFormat="1" applyFont="1" applyFill="1" applyBorder="1" applyAlignment="1">
      <alignment horizontal="left"/>
    </xf>
    <xf numFmtId="3" fontId="7" fillId="4" borderId="0" xfId="1" applyNumberFormat="1" applyFont="1" applyFill="1" applyBorder="1" applyAlignment="1">
      <alignment horizontal="center" vertical="center"/>
    </xf>
    <xf numFmtId="4" fontId="5" fillId="4" borderId="0" xfId="1" applyNumberFormat="1" applyFont="1" applyFill="1" applyBorder="1" applyAlignment="1">
      <alignment horizontal="center" vertical="justify"/>
    </xf>
    <xf numFmtId="4" fontId="5" fillId="4" borderId="0" xfId="1" applyNumberFormat="1" applyFont="1" applyFill="1" applyBorder="1" applyAlignment="1">
      <alignment horizontal="center" vertical="center"/>
    </xf>
    <xf numFmtId="1" fontId="4" fillId="4" borderId="0" xfId="1" applyNumberFormat="1" applyFont="1" applyFill="1" applyBorder="1" applyAlignment="1">
      <alignment horizontal="center" vertical="center"/>
    </xf>
    <xf numFmtId="4" fontId="29" fillId="4" borderId="0" xfId="1" applyNumberFormat="1" applyFont="1" applyFill="1" applyBorder="1" applyAlignment="1">
      <alignment horizontal="center" vertical="justify"/>
    </xf>
    <xf numFmtId="4" fontId="29" fillId="4" borderId="0" xfId="1" applyNumberFormat="1" applyFont="1" applyFill="1" applyBorder="1" applyAlignment="1">
      <alignment horizontal="center" vertical="center"/>
    </xf>
    <xf numFmtId="2" fontId="0" fillId="0" borderId="0" xfId="0" applyNumberFormat="1" applyBorder="1"/>
    <xf numFmtId="0" fontId="7" fillId="4" borderId="0" xfId="6" applyFont="1" applyFill="1" applyBorder="1" applyAlignment="1">
      <alignment vertical="center" wrapText="1"/>
    </xf>
    <xf numFmtId="0" fontId="19" fillId="2" borderId="17"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28" xfId="0" applyFont="1" applyFill="1" applyBorder="1" applyAlignment="1">
      <alignment horizontal="center" vertical="center"/>
    </xf>
    <xf numFmtId="0" fontId="19" fillId="2" borderId="27" xfId="0" applyFont="1" applyFill="1" applyBorder="1" applyAlignment="1">
      <alignment horizontal="center" vertical="center"/>
    </xf>
    <xf numFmtId="0" fontId="19" fillId="2" borderId="26"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19"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vertical="center"/>
    </xf>
    <xf numFmtId="0" fontId="0" fillId="4" borderId="0" xfId="0" applyFill="1" applyAlignment="1">
      <alignment horizontal="center" vertical="center"/>
    </xf>
    <xf numFmtId="0" fontId="2" fillId="4" borderId="37" xfId="6" applyFont="1" applyFill="1" applyBorder="1" applyAlignment="1">
      <alignment horizontal="left" vertical="center" wrapText="1"/>
    </xf>
    <xf numFmtId="0" fontId="26" fillId="4" borderId="0" xfId="0" applyFont="1" applyFill="1" applyBorder="1" applyAlignment="1">
      <alignment horizontal="center" vertical="center"/>
    </xf>
    <xf numFmtId="0" fontId="7" fillId="4" borderId="27" xfId="6" applyFont="1" applyFill="1" applyBorder="1" applyAlignment="1">
      <alignment horizontal="center" vertical="center" wrapText="1"/>
    </xf>
    <xf numFmtId="0" fontId="7" fillId="4" borderId="26" xfId="6" applyFont="1" applyFill="1" applyBorder="1" applyAlignment="1">
      <alignment horizontal="center" vertical="center" wrapText="1"/>
    </xf>
    <xf numFmtId="0" fontId="2" fillId="4" borderId="0" xfId="6" applyFont="1" applyFill="1" applyBorder="1" applyAlignment="1">
      <alignment horizontal="center" vertical="center" wrapText="1"/>
    </xf>
    <xf numFmtId="0" fontId="2" fillId="4" borderId="8" xfId="6" applyFont="1" applyFill="1" applyBorder="1" applyAlignment="1">
      <alignment horizontal="center" vertical="center" wrapText="1"/>
    </xf>
    <xf numFmtId="0" fontId="14" fillId="4" borderId="28" xfId="0" applyFont="1" applyFill="1" applyBorder="1" applyAlignment="1">
      <alignment horizontal="center" vertical="center"/>
    </xf>
    <xf numFmtId="0" fontId="14" fillId="4" borderId="27"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0"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6" xfId="0" applyFont="1" applyFill="1" applyBorder="1" applyAlignment="1">
      <alignment horizontal="center" vertical="center"/>
    </xf>
    <xf numFmtId="0" fontId="2" fillId="4" borderId="36" xfId="6" applyFont="1" applyFill="1" applyBorder="1" applyAlignment="1">
      <alignment horizontal="left" vertical="center" wrapText="1"/>
    </xf>
    <xf numFmtId="0" fontId="7" fillId="4" borderId="0" xfId="6" applyFont="1" applyFill="1" applyBorder="1" applyAlignment="1">
      <alignment horizontal="center" vertical="center" wrapText="1"/>
    </xf>
    <xf numFmtId="0" fontId="4" fillId="4" borderId="0" xfId="6" applyFont="1" applyFill="1" applyBorder="1" applyAlignment="1">
      <alignment horizontal="center" vertical="center" wrapText="1"/>
    </xf>
    <xf numFmtId="13" fontId="28" fillId="0" borderId="0" xfId="1" applyNumberFormat="1" applyFont="1" applyFill="1" applyBorder="1" applyAlignment="1">
      <alignment horizontal="center" vertical="center"/>
    </xf>
    <xf numFmtId="4" fontId="3" fillId="4" borderId="2" xfId="1" applyNumberFormat="1" applyFont="1" applyFill="1" applyBorder="1" applyAlignment="1">
      <alignment horizontal="center" vertical="center" wrapText="1"/>
    </xf>
    <xf numFmtId="4" fontId="3" fillId="4" borderId="1" xfId="1" applyNumberFormat="1" applyFont="1" applyFill="1" applyBorder="1" applyAlignment="1">
      <alignment horizontal="center" vertical="center" wrapText="1"/>
    </xf>
    <xf numFmtId="0" fontId="3" fillId="4" borderId="4" xfId="1" applyFont="1" applyFill="1" applyBorder="1" applyAlignment="1">
      <alignment horizontal="center" vertical="center"/>
    </xf>
    <xf numFmtId="0" fontId="3" fillId="4" borderId="2" xfId="1" applyFont="1" applyFill="1" applyBorder="1" applyAlignment="1">
      <alignment horizontal="center" vertical="center"/>
    </xf>
    <xf numFmtId="0" fontId="3" fillId="4" borderId="1" xfId="1" applyFont="1" applyFill="1" applyBorder="1" applyAlignment="1">
      <alignment horizontal="center" vertical="center"/>
    </xf>
    <xf numFmtId="0" fontId="2" fillId="4" borderId="0" xfId="1" applyFont="1" applyFill="1" applyBorder="1" applyAlignment="1">
      <alignment horizontal="left" wrapText="1"/>
    </xf>
    <xf numFmtId="0" fontId="3" fillId="4" borderId="2" xfId="1" applyFont="1" applyFill="1" applyBorder="1" applyAlignment="1">
      <alignment horizontal="left"/>
    </xf>
    <xf numFmtId="0" fontId="3" fillId="4" borderId="29" xfId="1" applyFont="1" applyFill="1" applyBorder="1" applyAlignment="1">
      <alignment horizontal="left"/>
    </xf>
    <xf numFmtId="0" fontId="3" fillId="4" borderId="3" xfId="1" applyFont="1" applyFill="1" applyBorder="1" applyAlignment="1">
      <alignment horizontal="center"/>
    </xf>
    <xf numFmtId="0" fontId="3" fillId="4" borderId="2" xfId="1" applyFont="1" applyFill="1" applyBorder="1" applyAlignment="1">
      <alignment horizontal="center"/>
    </xf>
    <xf numFmtId="0" fontId="3" fillId="4" borderId="1" xfId="1" applyFont="1" applyFill="1" applyBorder="1" applyAlignment="1">
      <alignment horizontal="center"/>
    </xf>
    <xf numFmtId="0" fontId="3" fillId="4" borderId="4" xfId="1" applyFont="1" applyFill="1" applyBorder="1" applyAlignment="1">
      <alignment horizontal="left"/>
    </xf>
    <xf numFmtId="0" fontId="3" fillId="4" borderId="1" xfId="1" applyFont="1" applyFill="1" applyBorder="1" applyAlignment="1">
      <alignment horizontal="left"/>
    </xf>
    <xf numFmtId="1" fontId="4" fillId="4" borderId="4" xfId="1" applyNumberFormat="1" applyFont="1" applyFill="1" applyBorder="1" applyAlignment="1">
      <alignment horizontal="center" vertical="center"/>
    </xf>
    <xf numFmtId="1" fontId="4" fillId="4" borderId="2" xfId="1" applyNumberFormat="1" applyFont="1" applyFill="1" applyBorder="1" applyAlignment="1">
      <alignment horizontal="center" vertical="center"/>
    </xf>
    <xf numFmtId="1" fontId="4" fillId="4" borderId="1" xfId="1" applyNumberFormat="1" applyFont="1" applyFill="1" applyBorder="1" applyAlignment="1">
      <alignment horizontal="center" vertical="center"/>
    </xf>
    <xf numFmtId="1" fontId="4" fillId="0" borderId="4" xfId="1" applyNumberFormat="1" applyFont="1" applyFill="1" applyBorder="1" applyAlignment="1">
      <alignment horizontal="center" vertical="center"/>
    </xf>
    <xf numFmtId="1" fontId="4" fillId="0" borderId="2" xfId="1" applyNumberFormat="1" applyFont="1" applyFill="1" applyBorder="1" applyAlignment="1">
      <alignment horizontal="center" vertical="center"/>
    </xf>
    <xf numFmtId="1" fontId="4" fillId="0" borderId="1" xfId="1" applyNumberFormat="1" applyFont="1" applyFill="1" applyBorder="1" applyAlignment="1">
      <alignment horizontal="center" vertical="center"/>
    </xf>
    <xf numFmtId="1" fontId="2" fillId="4" borderId="28" xfId="1" applyNumberFormat="1" applyFont="1" applyFill="1" applyBorder="1" applyAlignment="1">
      <alignment horizontal="center"/>
    </xf>
    <xf numFmtId="1" fontId="2" fillId="4" borderId="27" xfId="1" applyNumberFormat="1" applyFont="1" applyFill="1" applyBorder="1" applyAlignment="1">
      <alignment horizontal="center"/>
    </xf>
    <xf numFmtId="1" fontId="2" fillId="4" borderId="12" xfId="1" applyNumberFormat="1" applyFont="1" applyFill="1" applyBorder="1" applyAlignment="1">
      <alignment horizontal="center"/>
    </xf>
    <xf numFmtId="1" fontId="2" fillId="4" borderId="0" xfId="1" applyNumberFormat="1" applyFont="1" applyFill="1" applyBorder="1" applyAlignment="1">
      <alignment horizontal="center"/>
    </xf>
    <xf numFmtId="1" fontId="2" fillId="4" borderId="7" xfId="1" applyNumberFormat="1" applyFont="1" applyFill="1" applyBorder="1" applyAlignment="1">
      <alignment horizontal="center"/>
    </xf>
    <xf numFmtId="1" fontId="2" fillId="4" borderId="6" xfId="1" applyNumberFormat="1" applyFont="1" applyFill="1" applyBorder="1" applyAlignment="1">
      <alignment horizontal="center"/>
    </xf>
    <xf numFmtId="0" fontId="7" fillId="4" borderId="8" xfId="6" applyFont="1" applyFill="1" applyBorder="1" applyAlignment="1">
      <alignment horizontal="center" vertical="center" wrapText="1"/>
    </xf>
    <xf numFmtId="0" fontId="4" fillId="4" borderId="8" xfId="6" applyFont="1" applyFill="1" applyBorder="1" applyAlignment="1">
      <alignment horizontal="center" vertical="center" wrapText="1"/>
    </xf>
    <xf numFmtId="2" fontId="29" fillId="4" borderId="25" xfId="1" applyNumberFormat="1" applyFont="1" applyFill="1" applyBorder="1" applyAlignment="1">
      <alignment horizontal="center" vertical="center"/>
    </xf>
    <xf numFmtId="2" fontId="29" fillId="4" borderId="22" xfId="1" applyNumberFormat="1" applyFont="1" applyFill="1" applyBorder="1" applyAlignment="1">
      <alignment horizontal="center" vertical="center"/>
    </xf>
    <xf numFmtId="0" fontId="3" fillId="4" borderId="28" xfId="1" applyFont="1" applyFill="1" applyBorder="1" applyAlignment="1">
      <alignment horizontal="left" vertical="center" wrapText="1"/>
    </xf>
    <xf numFmtId="0" fontId="2" fillId="4" borderId="27" xfId="1" applyFont="1" applyFill="1" applyBorder="1" applyAlignment="1">
      <alignment horizontal="left" vertical="center" wrapText="1"/>
    </xf>
    <xf numFmtId="0" fontId="2" fillId="4" borderId="26" xfId="1" applyFont="1" applyFill="1" applyBorder="1" applyAlignment="1">
      <alignment horizontal="left" vertical="center" wrapText="1"/>
    </xf>
    <xf numFmtId="0" fontId="2" fillId="4" borderId="7" xfId="1" applyFont="1" applyFill="1" applyBorder="1" applyAlignment="1">
      <alignment horizontal="left" vertical="center" wrapText="1"/>
    </xf>
    <xf numFmtId="0" fontId="2" fillId="4" borderId="6" xfId="1" applyFont="1" applyFill="1" applyBorder="1" applyAlignment="1">
      <alignment horizontal="left" vertical="center" wrapText="1"/>
    </xf>
    <xf numFmtId="0" fontId="2" fillId="4" borderId="5" xfId="1" applyFont="1" applyFill="1" applyBorder="1" applyAlignment="1">
      <alignment horizontal="left" vertical="center" wrapText="1"/>
    </xf>
    <xf numFmtId="4" fontId="7" fillId="4" borderId="2" xfId="1" applyNumberFormat="1" applyFont="1" applyFill="1" applyBorder="1" applyAlignment="1">
      <alignment horizontal="center" vertical="center" wrapText="1"/>
    </xf>
    <xf numFmtId="4" fontId="7" fillId="4" borderId="1" xfId="1" applyNumberFormat="1" applyFont="1" applyFill="1" applyBorder="1" applyAlignment="1">
      <alignment horizontal="center" vertical="center" wrapText="1"/>
    </xf>
    <xf numFmtId="0" fontId="19" fillId="0" borderId="2" xfId="5" applyFont="1" applyBorder="1" applyAlignment="1">
      <alignment horizontal="center" vertical="center" wrapText="1"/>
    </xf>
    <xf numFmtId="0" fontId="19" fillId="0" borderId="1" xfId="5" applyFont="1" applyBorder="1" applyAlignment="1">
      <alignment horizontal="center" vertical="center" wrapText="1"/>
    </xf>
  </cellXfs>
  <cellStyles count="7">
    <cellStyle name="Millares 2" xfId="4" xr:uid="{00000000-0005-0000-0000-000000000000}"/>
    <cellStyle name="Moneda 2" xfId="2" xr:uid="{00000000-0005-0000-0000-000001000000}"/>
    <cellStyle name="Normal" xfId="0" builtinId="0"/>
    <cellStyle name="Normal 2" xfId="1" xr:uid="{00000000-0005-0000-0000-000003000000}"/>
    <cellStyle name="Normal 2 2 2" xfId="6" xr:uid="{0E3E837D-5A07-43B6-8A4B-095BBC4A7C68}"/>
    <cellStyle name="Normal 3" xfId="3" xr:uid="{00000000-0005-0000-0000-000004000000}"/>
    <cellStyle name="Normal 4" xfId="5" xr:uid="{5BE079C6-E6E9-41BA-B962-306E49365BA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12</xdr:col>
      <xdr:colOff>651933</xdr:colOff>
      <xdr:row>12</xdr:row>
      <xdr:rowOff>166945</xdr:rowOff>
    </xdr:from>
    <xdr:to>
      <xdr:col>22</xdr:col>
      <xdr:colOff>660400</xdr:colOff>
      <xdr:row>26</xdr:row>
      <xdr:rowOff>187971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737600" y="2436012"/>
          <a:ext cx="7814733" cy="26456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76200</xdr:colOff>
      <xdr:row>42</xdr:row>
      <xdr:rowOff>0</xdr:rowOff>
    </xdr:from>
    <xdr:to>
      <xdr:col>10</xdr:col>
      <xdr:colOff>76200</xdr:colOff>
      <xdr:row>42</xdr:row>
      <xdr:rowOff>0</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3" name="Oval 2">
          <a:extLst>
            <a:ext uri="{FF2B5EF4-FFF2-40B4-BE49-F238E27FC236}">
              <a16:creationId xmlns:a16="http://schemas.microsoft.com/office/drawing/2014/main" id="{00000000-0008-0000-0100-000003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4" name="Oval 3">
          <a:extLst>
            <a:ext uri="{FF2B5EF4-FFF2-40B4-BE49-F238E27FC236}">
              <a16:creationId xmlns:a16="http://schemas.microsoft.com/office/drawing/2014/main" id="{00000000-0008-0000-0100-000004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276225</xdr:colOff>
      <xdr:row>42</xdr:row>
      <xdr:rowOff>0</xdr:rowOff>
    </xdr:from>
    <xdr:to>
      <xdr:col>4</xdr:col>
      <xdr:colOff>371475</xdr:colOff>
      <xdr:row>42</xdr:row>
      <xdr:rowOff>0</xdr:rowOff>
    </xdr:to>
    <xdr:sp macro="" textlink="">
      <xdr:nvSpPr>
        <xdr:cNvPr id="5" name="Oval 4">
          <a:extLst>
            <a:ext uri="{FF2B5EF4-FFF2-40B4-BE49-F238E27FC236}">
              <a16:creationId xmlns:a16="http://schemas.microsoft.com/office/drawing/2014/main" id="{00000000-0008-0000-0100-000005000000}"/>
            </a:ext>
          </a:extLst>
        </xdr:cNvPr>
        <xdr:cNvSpPr>
          <a:spLocks noChangeArrowheads="1"/>
        </xdr:cNvSpPr>
      </xdr:nvSpPr>
      <xdr:spPr bwMode="auto">
        <a:xfrm>
          <a:off x="1514475" y="10477500"/>
          <a:ext cx="9525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276225</xdr:colOff>
      <xdr:row>42</xdr:row>
      <xdr:rowOff>0</xdr:rowOff>
    </xdr:from>
    <xdr:to>
      <xdr:col>4</xdr:col>
      <xdr:colOff>361950</xdr:colOff>
      <xdr:row>42</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flipH="1">
          <a:off x="15144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42</xdr:row>
      <xdr:rowOff>0</xdr:rowOff>
    </xdr:from>
    <xdr:to>
      <xdr:col>5</xdr:col>
      <xdr:colOff>180975</xdr:colOff>
      <xdr:row>42</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a:off x="21240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42</xdr:row>
      <xdr:rowOff>0</xdr:rowOff>
    </xdr:from>
    <xdr:to>
      <xdr:col>5</xdr:col>
      <xdr:colOff>180975</xdr:colOff>
      <xdr:row>42</xdr:row>
      <xdr:rowOff>0</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a:off x="21240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9" name="Oval 8">
          <a:extLst>
            <a:ext uri="{FF2B5EF4-FFF2-40B4-BE49-F238E27FC236}">
              <a16:creationId xmlns:a16="http://schemas.microsoft.com/office/drawing/2014/main" id="{00000000-0008-0000-0100-000009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0" name="Oval 9">
          <a:extLst>
            <a:ext uri="{FF2B5EF4-FFF2-40B4-BE49-F238E27FC236}">
              <a16:creationId xmlns:a16="http://schemas.microsoft.com/office/drawing/2014/main" id="{00000000-0008-0000-0100-00000A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95250</xdr:colOff>
      <xdr:row>39</xdr:row>
      <xdr:rowOff>0</xdr:rowOff>
    </xdr:from>
    <xdr:to>
      <xdr:col>5</xdr:col>
      <xdr:colOff>95250</xdr:colOff>
      <xdr:row>39</xdr:row>
      <xdr:rowOff>0</xdr:rowOff>
    </xdr:to>
    <xdr:sp macro="" textlink="">
      <xdr:nvSpPr>
        <xdr:cNvPr id="11" name="Line 11">
          <a:extLst>
            <a:ext uri="{FF2B5EF4-FFF2-40B4-BE49-F238E27FC236}">
              <a16:creationId xmlns:a16="http://schemas.microsoft.com/office/drawing/2014/main" id="{00000000-0008-0000-0100-00000B000000}"/>
            </a:ext>
          </a:extLst>
        </xdr:cNvPr>
        <xdr:cNvSpPr>
          <a:spLocks noChangeShapeType="1"/>
        </xdr:cNvSpPr>
      </xdr:nvSpPr>
      <xdr:spPr bwMode="auto">
        <a:xfrm>
          <a:off x="2124075" y="9839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2" name="Oval 12">
          <a:extLst>
            <a:ext uri="{FF2B5EF4-FFF2-40B4-BE49-F238E27FC236}">
              <a16:creationId xmlns:a16="http://schemas.microsoft.com/office/drawing/2014/main" id="{00000000-0008-0000-0100-00000C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3" name="Oval 13">
          <a:extLst>
            <a:ext uri="{FF2B5EF4-FFF2-40B4-BE49-F238E27FC236}">
              <a16:creationId xmlns:a16="http://schemas.microsoft.com/office/drawing/2014/main" id="{00000000-0008-0000-0100-00000D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4" name="Oval 14">
          <a:extLst>
            <a:ext uri="{FF2B5EF4-FFF2-40B4-BE49-F238E27FC236}">
              <a16:creationId xmlns:a16="http://schemas.microsoft.com/office/drawing/2014/main" id="{00000000-0008-0000-0100-00000E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5" name="Oval 15">
          <a:extLst>
            <a:ext uri="{FF2B5EF4-FFF2-40B4-BE49-F238E27FC236}">
              <a16:creationId xmlns:a16="http://schemas.microsoft.com/office/drawing/2014/main" id="{00000000-0008-0000-0100-00000F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95250</xdr:colOff>
      <xdr:row>42</xdr:row>
      <xdr:rowOff>0</xdr:rowOff>
    </xdr:from>
    <xdr:to>
      <xdr:col>12</xdr:col>
      <xdr:colOff>190500</xdr:colOff>
      <xdr:row>42</xdr:row>
      <xdr:rowOff>0</xdr:rowOff>
    </xdr:to>
    <xdr:sp macro="" textlink="">
      <xdr:nvSpPr>
        <xdr:cNvPr id="16" name="Oval 16">
          <a:extLst>
            <a:ext uri="{FF2B5EF4-FFF2-40B4-BE49-F238E27FC236}">
              <a16:creationId xmlns:a16="http://schemas.microsoft.com/office/drawing/2014/main" id="{00000000-0008-0000-0100-000010000000}"/>
            </a:ext>
          </a:extLst>
        </xdr:cNvPr>
        <xdr:cNvSpPr>
          <a:spLocks noChangeArrowheads="1"/>
        </xdr:cNvSpPr>
      </xdr:nvSpPr>
      <xdr:spPr bwMode="auto">
        <a:xfrm>
          <a:off x="6572250" y="10477500"/>
          <a:ext cx="9525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7" name="Oval 17">
          <a:extLst>
            <a:ext uri="{FF2B5EF4-FFF2-40B4-BE49-F238E27FC236}">
              <a16:creationId xmlns:a16="http://schemas.microsoft.com/office/drawing/2014/main" id="{00000000-0008-0000-0100-000011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95250</xdr:colOff>
      <xdr:row>42</xdr:row>
      <xdr:rowOff>0</xdr:rowOff>
    </xdr:from>
    <xdr:to>
      <xdr:col>7</xdr:col>
      <xdr:colOff>190500</xdr:colOff>
      <xdr:row>42</xdr:row>
      <xdr:rowOff>0</xdr:rowOff>
    </xdr:to>
    <xdr:sp macro="" textlink="">
      <xdr:nvSpPr>
        <xdr:cNvPr id="18" name="Oval 18">
          <a:extLst>
            <a:ext uri="{FF2B5EF4-FFF2-40B4-BE49-F238E27FC236}">
              <a16:creationId xmlns:a16="http://schemas.microsoft.com/office/drawing/2014/main" id="{00000000-0008-0000-0100-000012000000}"/>
            </a:ext>
          </a:extLst>
        </xdr:cNvPr>
        <xdr:cNvSpPr>
          <a:spLocks noChangeArrowheads="1"/>
        </xdr:cNvSpPr>
      </xdr:nvSpPr>
      <xdr:spPr bwMode="auto">
        <a:xfrm>
          <a:off x="3543300" y="10477500"/>
          <a:ext cx="9525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9" name="Oval 19">
          <a:extLst>
            <a:ext uri="{FF2B5EF4-FFF2-40B4-BE49-F238E27FC236}">
              <a16:creationId xmlns:a16="http://schemas.microsoft.com/office/drawing/2014/main" id="{00000000-0008-0000-0100-000013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20" name="Oval 20">
          <a:extLst>
            <a:ext uri="{FF2B5EF4-FFF2-40B4-BE49-F238E27FC236}">
              <a16:creationId xmlns:a16="http://schemas.microsoft.com/office/drawing/2014/main" id="{00000000-0008-0000-0100-000014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21" name="Oval 21">
          <a:extLst>
            <a:ext uri="{FF2B5EF4-FFF2-40B4-BE49-F238E27FC236}">
              <a16:creationId xmlns:a16="http://schemas.microsoft.com/office/drawing/2014/main" id="{00000000-0008-0000-0100-000015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22" name="Oval 22">
          <a:extLst>
            <a:ext uri="{FF2B5EF4-FFF2-40B4-BE49-F238E27FC236}">
              <a16:creationId xmlns:a16="http://schemas.microsoft.com/office/drawing/2014/main" id="{00000000-0008-0000-0100-000016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23" name="Oval 23">
          <a:extLst>
            <a:ext uri="{FF2B5EF4-FFF2-40B4-BE49-F238E27FC236}">
              <a16:creationId xmlns:a16="http://schemas.microsoft.com/office/drawing/2014/main" id="{00000000-0008-0000-0100-000017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24" name="Oval 24">
          <a:extLst>
            <a:ext uri="{FF2B5EF4-FFF2-40B4-BE49-F238E27FC236}">
              <a16:creationId xmlns:a16="http://schemas.microsoft.com/office/drawing/2014/main" id="{00000000-0008-0000-0100-000018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85725</xdr:colOff>
      <xdr:row>42</xdr:row>
      <xdr:rowOff>0</xdr:rowOff>
    </xdr:from>
    <xdr:to>
      <xdr:col>8</xdr:col>
      <xdr:colOff>352425</xdr:colOff>
      <xdr:row>42</xdr:row>
      <xdr:rowOff>0</xdr:rowOff>
    </xdr:to>
    <xdr:sp macro="" textlink="">
      <xdr:nvSpPr>
        <xdr:cNvPr id="25" name="Line 25">
          <a:extLst>
            <a:ext uri="{FF2B5EF4-FFF2-40B4-BE49-F238E27FC236}">
              <a16:creationId xmlns:a16="http://schemas.microsoft.com/office/drawing/2014/main" id="{00000000-0008-0000-0100-000019000000}"/>
            </a:ext>
          </a:extLst>
        </xdr:cNvPr>
        <xdr:cNvSpPr>
          <a:spLocks noChangeShapeType="1"/>
        </xdr:cNvSpPr>
      </xdr:nvSpPr>
      <xdr:spPr bwMode="auto">
        <a:xfrm>
          <a:off x="2819400" y="10477500"/>
          <a:ext cx="1638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26" name="Oval 26">
          <a:extLst>
            <a:ext uri="{FF2B5EF4-FFF2-40B4-BE49-F238E27FC236}">
              <a16:creationId xmlns:a16="http://schemas.microsoft.com/office/drawing/2014/main" id="{00000000-0008-0000-0100-00001A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27" name="Oval 27">
          <a:extLst>
            <a:ext uri="{FF2B5EF4-FFF2-40B4-BE49-F238E27FC236}">
              <a16:creationId xmlns:a16="http://schemas.microsoft.com/office/drawing/2014/main" id="{00000000-0008-0000-0100-00001B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361950</xdr:colOff>
      <xdr:row>42</xdr:row>
      <xdr:rowOff>0</xdr:rowOff>
    </xdr:from>
    <xdr:to>
      <xdr:col>4</xdr:col>
      <xdr:colOff>590550</xdr:colOff>
      <xdr:row>42</xdr:row>
      <xdr:rowOff>0</xdr:rowOff>
    </xdr:to>
    <xdr:sp macro="" textlink="">
      <xdr:nvSpPr>
        <xdr:cNvPr id="28" name="Line 28">
          <a:extLst>
            <a:ext uri="{FF2B5EF4-FFF2-40B4-BE49-F238E27FC236}">
              <a16:creationId xmlns:a16="http://schemas.microsoft.com/office/drawing/2014/main" id="{00000000-0008-0000-0100-00001C000000}"/>
            </a:ext>
          </a:extLst>
        </xdr:cNvPr>
        <xdr:cNvSpPr>
          <a:spLocks noChangeShapeType="1"/>
        </xdr:cNvSpPr>
      </xdr:nvSpPr>
      <xdr:spPr bwMode="auto">
        <a:xfrm>
          <a:off x="1600200" y="10477500"/>
          <a:ext cx="228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276225</xdr:colOff>
      <xdr:row>42</xdr:row>
      <xdr:rowOff>0</xdr:rowOff>
    </xdr:from>
    <xdr:to>
      <xdr:col>4</xdr:col>
      <xdr:colOff>371475</xdr:colOff>
      <xdr:row>42</xdr:row>
      <xdr:rowOff>0</xdr:rowOff>
    </xdr:to>
    <xdr:sp macro="" textlink="">
      <xdr:nvSpPr>
        <xdr:cNvPr id="29" name="Oval 29">
          <a:extLst>
            <a:ext uri="{FF2B5EF4-FFF2-40B4-BE49-F238E27FC236}">
              <a16:creationId xmlns:a16="http://schemas.microsoft.com/office/drawing/2014/main" id="{00000000-0008-0000-0100-00001D000000}"/>
            </a:ext>
          </a:extLst>
        </xdr:cNvPr>
        <xdr:cNvSpPr>
          <a:spLocks noChangeArrowheads="1"/>
        </xdr:cNvSpPr>
      </xdr:nvSpPr>
      <xdr:spPr bwMode="auto">
        <a:xfrm>
          <a:off x="1514475" y="10477500"/>
          <a:ext cx="9525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276225</xdr:colOff>
      <xdr:row>42</xdr:row>
      <xdr:rowOff>0</xdr:rowOff>
    </xdr:from>
    <xdr:to>
      <xdr:col>4</xdr:col>
      <xdr:colOff>361950</xdr:colOff>
      <xdr:row>42</xdr:row>
      <xdr:rowOff>0</xdr:rowOff>
    </xdr:to>
    <xdr:sp macro="" textlink="">
      <xdr:nvSpPr>
        <xdr:cNvPr id="30" name="Line 30">
          <a:extLst>
            <a:ext uri="{FF2B5EF4-FFF2-40B4-BE49-F238E27FC236}">
              <a16:creationId xmlns:a16="http://schemas.microsoft.com/office/drawing/2014/main" id="{00000000-0008-0000-0100-00001E000000}"/>
            </a:ext>
          </a:extLst>
        </xdr:cNvPr>
        <xdr:cNvSpPr>
          <a:spLocks noChangeShapeType="1"/>
        </xdr:cNvSpPr>
      </xdr:nvSpPr>
      <xdr:spPr bwMode="auto">
        <a:xfrm flipH="1">
          <a:off x="15144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42</xdr:row>
      <xdr:rowOff>0</xdr:rowOff>
    </xdr:from>
    <xdr:to>
      <xdr:col>5</xdr:col>
      <xdr:colOff>180975</xdr:colOff>
      <xdr:row>42</xdr:row>
      <xdr:rowOff>0</xdr:rowOff>
    </xdr:to>
    <xdr:sp macro="" textlink="">
      <xdr:nvSpPr>
        <xdr:cNvPr id="31" name="Line 31">
          <a:extLst>
            <a:ext uri="{FF2B5EF4-FFF2-40B4-BE49-F238E27FC236}">
              <a16:creationId xmlns:a16="http://schemas.microsoft.com/office/drawing/2014/main" id="{00000000-0008-0000-0100-00001F000000}"/>
            </a:ext>
          </a:extLst>
        </xdr:cNvPr>
        <xdr:cNvSpPr>
          <a:spLocks noChangeShapeType="1"/>
        </xdr:cNvSpPr>
      </xdr:nvSpPr>
      <xdr:spPr bwMode="auto">
        <a:xfrm>
          <a:off x="21240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42</xdr:row>
      <xdr:rowOff>0</xdr:rowOff>
    </xdr:from>
    <xdr:to>
      <xdr:col>5</xdr:col>
      <xdr:colOff>180975</xdr:colOff>
      <xdr:row>42</xdr:row>
      <xdr:rowOff>0</xdr:rowOff>
    </xdr:to>
    <xdr:sp macro="" textlink="">
      <xdr:nvSpPr>
        <xdr:cNvPr id="32" name="Line 32">
          <a:extLst>
            <a:ext uri="{FF2B5EF4-FFF2-40B4-BE49-F238E27FC236}">
              <a16:creationId xmlns:a16="http://schemas.microsoft.com/office/drawing/2014/main" id="{00000000-0008-0000-0100-000020000000}"/>
            </a:ext>
          </a:extLst>
        </xdr:cNvPr>
        <xdr:cNvSpPr>
          <a:spLocks noChangeShapeType="1"/>
        </xdr:cNvSpPr>
      </xdr:nvSpPr>
      <xdr:spPr bwMode="auto">
        <a:xfrm>
          <a:off x="21240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33" name="Oval 33">
          <a:extLst>
            <a:ext uri="{FF2B5EF4-FFF2-40B4-BE49-F238E27FC236}">
              <a16:creationId xmlns:a16="http://schemas.microsoft.com/office/drawing/2014/main" id="{00000000-0008-0000-0100-000021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34" name="Oval 34">
          <a:extLst>
            <a:ext uri="{FF2B5EF4-FFF2-40B4-BE49-F238E27FC236}">
              <a16:creationId xmlns:a16="http://schemas.microsoft.com/office/drawing/2014/main" id="{00000000-0008-0000-0100-000022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35" name="Oval 35">
          <a:extLst>
            <a:ext uri="{FF2B5EF4-FFF2-40B4-BE49-F238E27FC236}">
              <a16:creationId xmlns:a16="http://schemas.microsoft.com/office/drawing/2014/main" id="{00000000-0008-0000-0100-000023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36" name="Oval 36">
          <a:extLst>
            <a:ext uri="{FF2B5EF4-FFF2-40B4-BE49-F238E27FC236}">
              <a16:creationId xmlns:a16="http://schemas.microsoft.com/office/drawing/2014/main" id="{00000000-0008-0000-0100-000024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37" name="Oval 37">
          <a:extLst>
            <a:ext uri="{FF2B5EF4-FFF2-40B4-BE49-F238E27FC236}">
              <a16:creationId xmlns:a16="http://schemas.microsoft.com/office/drawing/2014/main" id="{00000000-0008-0000-0100-000025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38" name="Oval 38">
          <a:extLst>
            <a:ext uri="{FF2B5EF4-FFF2-40B4-BE49-F238E27FC236}">
              <a16:creationId xmlns:a16="http://schemas.microsoft.com/office/drawing/2014/main" id="{00000000-0008-0000-0100-000026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39" name="Oval 39">
          <a:extLst>
            <a:ext uri="{FF2B5EF4-FFF2-40B4-BE49-F238E27FC236}">
              <a16:creationId xmlns:a16="http://schemas.microsoft.com/office/drawing/2014/main" id="{00000000-0008-0000-0100-000027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40" name="Oval 40">
          <a:extLst>
            <a:ext uri="{FF2B5EF4-FFF2-40B4-BE49-F238E27FC236}">
              <a16:creationId xmlns:a16="http://schemas.microsoft.com/office/drawing/2014/main" id="{00000000-0008-0000-0100-000028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41" name="Line 43">
          <a:extLst>
            <a:ext uri="{FF2B5EF4-FFF2-40B4-BE49-F238E27FC236}">
              <a16:creationId xmlns:a16="http://schemas.microsoft.com/office/drawing/2014/main" id="{00000000-0008-0000-0100-000029000000}"/>
            </a:ext>
          </a:extLst>
        </xdr:cNvPr>
        <xdr:cNvSpPr>
          <a:spLocks noChangeShapeType="1"/>
        </xdr:cNvSpPr>
      </xdr:nvSpPr>
      <xdr:spPr bwMode="auto">
        <a:xfrm>
          <a:off x="27336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42" name="Line 44">
          <a:extLst>
            <a:ext uri="{FF2B5EF4-FFF2-40B4-BE49-F238E27FC236}">
              <a16:creationId xmlns:a16="http://schemas.microsoft.com/office/drawing/2014/main" id="{00000000-0008-0000-0100-00002A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352425</xdr:colOff>
      <xdr:row>42</xdr:row>
      <xdr:rowOff>0</xdr:rowOff>
    </xdr:from>
    <xdr:to>
      <xdr:col>9</xdr:col>
      <xdr:colOff>0</xdr:colOff>
      <xdr:row>42</xdr:row>
      <xdr:rowOff>0</xdr:rowOff>
    </xdr:to>
    <xdr:sp macro="" textlink="">
      <xdr:nvSpPr>
        <xdr:cNvPr id="43" name="Line 45">
          <a:extLst>
            <a:ext uri="{FF2B5EF4-FFF2-40B4-BE49-F238E27FC236}">
              <a16:creationId xmlns:a16="http://schemas.microsoft.com/office/drawing/2014/main" id="{00000000-0008-0000-0100-00002B000000}"/>
            </a:ext>
          </a:extLst>
        </xdr:cNvPr>
        <xdr:cNvSpPr>
          <a:spLocks noChangeShapeType="1"/>
        </xdr:cNvSpPr>
      </xdr:nvSpPr>
      <xdr:spPr bwMode="auto">
        <a:xfrm flipH="1">
          <a:off x="4457700" y="10477500"/>
          <a:ext cx="219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42</xdr:row>
      <xdr:rowOff>0</xdr:rowOff>
    </xdr:from>
    <xdr:to>
      <xdr:col>6</xdr:col>
      <xdr:colOff>123825</xdr:colOff>
      <xdr:row>42</xdr:row>
      <xdr:rowOff>0</xdr:rowOff>
    </xdr:to>
    <xdr:sp macro="" textlink="">
      <xdr:nvSpPr>
        <xdr:cNvPr id="44" name="Line 46">
          <a:extLst>
            <a:ext uri="{FF2B5EF4-FFF2-40B4-BE49-F238E27FC236}">
              <a16:creationId xmlns:a16="http://schemas.microsoft.com/office/drawing/2014/main" id="{00000000-0008-0000-0100-00002C000000}"/>
            </a:ext>
          </a:extLst>
        </xdr:cNvPr>
        <xdr:cNvSpPr>
          <a:spLocks noChangeShapeType="1"/>
        </xdr:cNvSpPr>
      </xdr:nvSpPr>
      <xdr:spPr bwMode="auto">
        <a:xfrm>
          <a:off x="2733675" y="10477500"/>
          <a:ext cx="123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42</xdr:row>
      <xdr:rowOff>0</xdr:rowOff>
    </xdr:from>
    <xdr:to>
      <xdr:col>6</xdr:col>
      <xdr:colOff>104775</xdr:colOff>
      <xdr:row>42</xdr:row>
      <xdr:rowOff>0</xdr:rowOff>
    </xdr:to>
    <xdr:sp macro="" textlink="">
      <xdr:nvSpPr>
        <xdr:cNvPr id="45" name="Line 47">
          <a:extLst>
            <a:ext uri="{FF2B5EF4-FFF2-40B4-BE49-F238E27FC236}">
              <a16:creationId xmlns:a16="http://schemas.microsoft.com/office/drawing/2014/main" id="{00000000-0008-0000-0100-00002D000000}"/>
            </a:ext>
          </a:extLst>
        </xdr:cNvPr>
        <xdr:cNvSpPr>
          <a:spLocks noChangeShapeType="1"/>
        </xdr:cNvSpPr>
      </xdr:nvSpPr>
      <xdr:spPr bwMode="auto">
        <a:xfrm>
          <a:off x="2733675" y="1047750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46" name="Oval 48">
          <a:extLst>
            <a:ext uri="{FF2B5EF4-FFF2-40B4-BE49-F238E27FC236}">
              <a16:creationId xmlns:a16="http://schemas.microsoft.com/office/drawing/2014/main" id="{00000000-0008-0000-0100-00002E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47" name="Oval 49">
          <a:extLst>
            <a:ext uri="{FF2B5EF4-FFF2-40B4-BE49-F238E27FC236}">
              <a16:creationId xmlns:a16="http://schemas.microsoft.com/office/drawing/2014/main" id="{00000000-0008-0000-0100-00002F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48" name="Oval 50">
          <a:extLst>
            <a:ext uri="{FF2B5EF4-FFF2-40B4-BE49-F238E27FC236}">
              <a16:creationId xmlns:a16="http://schemas.microsoft.com/office/drawing/2014/main" id="{00000000-0008-0000-0100-000030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352425</xdr:colOff>
      <xdr:row>42</xdr:row>
      <xdr:rowOff>0</xdr:rowOff>
    </xdr:from>
    <xdr:to>
      <xdr:col>9</xdr:col>
      <xdr:colOff>0</xdr:colOff>
      <xdr:row>42</xdr:row>
      <xdr:rowOff>0</xdr:rowOff>
    </xdr:to>
    <xdr:sp macro="" textlink="">
      <xdr:nvSpPr>
        <xdr:cNvPr id="49" name="Line 51">
          <a:extLst>
            <a:ext uri="{FF2B5EF4-FFF2-40B4-BE49-F238E27FC236}">
              <a16:creationId xmlns:a16="http://schemas.microsoft.com/office/drawing/2014/main" id="{00000000-0008-0000-0100-000031000000}"/>
            </a:ext>
          </a:extLst>
        </xdr:cNvPr>
        <xdr:cNvSpPr>
          <a:spLocks noChangeShapeType="1"/>
        </xdr:cNvSpPr>
      </xdr:nvSpPr>
      <xdr:spPr bwMode="auto">
        <a:xfrm flipH="1">
          <a:off x="4457700" y="10477500"/>
          <a:ext cx="219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50" name="Oval 52">
          <a:extLst>
            <a:ext uri="{FF2B5EF4-FFF2-40B4-BE49-F238E27FC236}">
              <a16:creationId xmlns:a16="http://schemas.microsoft.com/office/drawing/2014/main" id="{00000000-0008-0000-0100-000032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51" name="Oval 53">
          <a:extLst>
            <a:ext uri="{FF2B5EF4-FFF2-40B4-BE49-F238E27FC236}">
              <a16:creationId xmlns:a16="http://schemas.microsoft.com/office/drawing/2014/main" id="{00000000-0008-0000-0100-000033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76200</xdr:colOff>
      <xdr:row>42</xdr:row>
      <xdr:rowOff>0</xdr:rowOff>
    </xdr:from>
    <xdr:to>
      <xdr:col>12</xdr:col>
      <xdr:colOff>76200</xdr:colOff>
      <xdr:row>42</xdr:row>
      <xdr:rowOff>0</xdr:rowOff>
    </xdr:to>
    <xdr:sp macro="" textlink="">
      <xdr:nvSpPr>
        <xdr:cNvPr id="52" name="Oval 54">
          <a:extLst>
            <a:ext uri="{FF2B5EF4-FFF2-40B4-BE49-F238E27FC236}">
              <a16:creationId xmlns:a16="http://schemas.microsoft.com/office/drawing/2014/main" id="{00000000-0008-0000-0100-000034000000}"/>
            </a:ext>
          </a:extLst>
        </xdr:cNvPr>
        <xdr:cNvSpPr>
          <a:spLocks noChangeArrowheads="1"/>
        </xdr:cNvSpPr>
      </xdr:nvSpPr>
      <xdr:spPr bwMode="auto">
        <a:xfrm>
          <a:off x="655320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53" name="Oval 55">
          <a:extLst>
            <a:ext uri="{FF2B5EF4-FFF2-40B4-BE49-F238E27FC236}">
              <a16:creationId xmlns:a16="http://schemas.microsoft.com/office/drawing/2014/main" id="{00000000-0008-0000-0100-000035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54" name="Oval 56">
          <a:extLst>
            <a:ext uri="{FF2B5EF4-FFF2-40B4-BE49-F238E27FC236}">
              <a16:creationId xmlns:a16="http://schemas.microsoft.com/office/drawing/2014/main" id="{00000000-0008-0000-0100-000036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55" name="Oval 57">
          <a:extLst>
            <a:ext uri="{FF2B5EF4-FFF2-40B4-BE49-F238E27FC236}">
              <a16:creationId xmlns:a16="http://schemas.microsoft.com/office/drawing/2014/main" id="{00000000-0008-0000-0100-000037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56" name="Oval 58">
          <a:extLst>
            <a:ext uri="{FF2B5EF4-FFF2-40B4-BE49-F238E27FC236}">
              <a16:creationId xmlns:a16="http://schemas.microsoft.com/office/drawing/2014/main" id="{00000000-0008-0000-0100-000038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57" name="Oval 59">
          <a:extLst>
            <a:ext uri="{FF2B5EF4-FFF2-40B4-BE49-F238E27FC236}">
              <a16:creationId xmlns:a16="http://schemas.microsoft.com/office/drawing/2014/main" id="{00000000-0008-0000-0100-000039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58" name="Oval 60">
          <a:extLst>
            <a:ext uri="{FF2B5EF4-FFF2-40B4-BE49-F238E27FC236}">
              <a16:creationId xmlns:a16="http://schemas.microsoft.com/office/drawing/2014/main" id="{00000000-0008-0000-0100-00003A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59" name="Oval 61">
          <a:extLst>
            <a:ext uri="{FF2B5EF4-FFF2-40B4-BE49-F238E27FC236}">
              <a16:creationId xmlns:a16="http://schemas.microsoft.com/office/drawing/2014/main" id="{00000000-0008-0000-0100-00003B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60" name="Oval 62">
          <a:extLst>
            <a:ext uri="{FF2B5EF4-FFF2-40B4-BE49-F238E27FC236}">
              <a16:creationId xmlns:a16="http://schemas.microsoft.com/office/drawing/2014/main" id="{00000000-0008-0000-0100-00003C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76200</xdr:colOff>
      <xdr:row>42</xdr:row>
      <xdr:rowOff>0</xdr:rowOff>
    </xdr:from>
    <xdr:to>
      <xdr:col>12</xdr:col>
      <xdr:colOff>76200</xdr:colOff>
      <xdr:row>42</xdr:row>
      <xdr:rowOff>0</xdr:rowOff>
    </xdr:to>
    <xdr:sp macro="" textlink="">
      <xdr:nvSpPr>
        <xdr:cNvPr id="61" name="Oval 63">
          <a:extLst>
            <a:ext uri="{FF2B5EF4-FFF2-40B4-BE49-F238E27FC236}">
              <a16:creationId xmlns:a16="http://schemas.microsoft.com/office/drawing/2014/main" id="{00000000-0008-0000-0100-00003D000000}"/>
            </a:ext>
          </a:extLst>
        </xdr:cNvPr>
        <xdr:cNvSpPr>
          <a:spLocks noChangeArrowheads="1"/>
        </xdr:cNvSpPr>
      </xdr:nvSpPr>
      <xdr:spPr bwMode="auto">
        <a:xfrm>
          <a:off x="655320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62" name="Oval 64">
          <a:extLst>
            <a:ext uri="{FF2B5EF4-FFF2-40B4-BE49-F238E27FC236}">
              <a16:creationId xmlns:a16="http://schemas.microsoft.com/office/drawing/2014/main" id="{00000000-0008-0000-0100-00003E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63" name="Oval 65">
          <a:extLst>
            <a:ext uri="{FF2B5EF4-FFF2-40B4-BE49-F238E27FC236}">
              <a16:creationId xmlns:a16="http://schemas.microsoft.com/office/drawing/2014/main" id="{00000000-0008-0000-0100-00003F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180975</xdr:colOff>
      <xdr:row>42</xdr:row>
      <xdr:rowOff>0</xdr:rowOff>
    </xdr:from>
    <xdr:to>
      <xdr:col>10</xdr:col>
      <xdr:colOff>180975</xdr:colOff>
      <xdr:row>42</xdr:row>
      <xdr:rowOff>0</xdr:rowOff>
    </xdr:to>
    <xdr:sp macro="" textlink="">
      <xdr:nvSpPr>
        <xdr:cNvPr id="64" name="Line 66">
          <a:extLst>
            <a:ext uri="{FF2B5EF4-FFF2-40B4-BE49-F238E27FC236}">
              <a16:creationId xmlns:a16="http://schemas.microsoft.com/office/drawing/2014/main" id="{00000000-0008-0000-0100-000040000000}"/>
            </a:ext>
          </a:extLst>
        </xdr:cNvPr>
        <xdr:cNvSpPr>
          <a:spLocks noChangeShapeType="1"/>
        </xdr:cNvSpPr>
      </xdr:nvSpPr>
      <xdr:spPr bwMode="auto">
        <a:xfrm>
          <a:off x="54292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65" name="Oval 67">
          <a:extLst>
            <a:ext uri="{FF2B5EF4-FFF2-40B4-BE49-F238E27FC236}">
              <a16:creationId xmlns:a16="http://schemas.microsoft.com/office/drawing/2014/main" id="{00000000-0008-0000-0100-000041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66" name="Oval 68">
          <a:extLst>
            <a:ext uri="{FF2B5EF4-FFF2-40B4-BE49-F238E27FC236}">
              <a16:creationId xmlns:a16="http://schemas.microsoft.com/office/drawing/2014/main" id="{00000000-0008-0000-0100-000042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67" name="Oval 69">
          <a:extLst>
            <a:ext uri="{FF2B5EF4-FFF2-40B4-BE49-F238E27FC236}">
              <a16:creationId xmlns:a16="http://schemas.microsoft.com/office/drawing/2014/main" id="{00000000-0008-0000-0100-000043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42</xdr:row>
      <xdr:rowOff>0</xdr:rowOff>
    </xdr:from>
    <xdr:to>
      <xdr:col>6</xdr:col>
      <xdr:colOff>238125</xdr:colOff>
      <xdr:row>42</xdr:row>
      <xdr:rowOff>0</xdr:rowOff>
    </xdr:to>
    <xdr:sp macro="" textlink="">
      <xdr:nvSpPr>
        <xdr:cNvPr id="68" name="Line 70">
          <a:extLst>
            <a:ext uri="{FF2B5EF4-FFF2-40B4-BE49-F238E27FC236}">
              <a16:creationId xmlns:a16="http://schemas.microsoft.com/office/drawing/2014/main" id="{00000000-0008-0000-0100-000044000000}"/>
            </a:ext>
          </a:extLst>
        </xdr:cNvPr>
        <xdr:cNvSpPr>
          <a:spLocks noChangeShapeType="1"/>
        </xdr:cNvSpPr>
      </xdr:nvSpPr>
      <xdr:spPr bwMode="auto">
        <a:xfrm>
          <a:off x="2028825" y="10477500"/>
          <a:ext cx="942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69" name="Oval 71">
          <a:extLst>
            <a:ext uri="{FF2B5EF4-FFF2-40B4-BE49-F238E27FC236}">
              <a16:creationId xmlns:a16="http://schemas.microsoft.com/office/drawing/2014/main" id="{00000000-0008-0000-0100-000045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409575</xdr:colOff>
      <xdr:row>42</xdr:row>
      <xdr:rowOff>0</xdr:rowOff>
    </xdr:from>
    <xdr:to>
      <xdr:col>9</xdr:col>
      <xdr:colOff>123825</xdr:colOff>
      <xdr:row>42</xdr:row>
      <xdr:rowOff>0</xdr:rowOff>
    </xdr:to>
    <xdr:sp macro="" textlink="">
      <xdr:nvSpPr>
        <xdr:cNvPr id="70" name="Line 72">
          <a:extLst>
            <a:ext uri="{FF2B5EF4-FFF2-40B4-BE49-F238E27FC236}">
              <a16:creationId xmlns:a16="http://schemas.microsoft.com/office/drawing/2014/main" id="{00000000-0008-0000-0100-000046000000}"/>
            </a:ext>
          </a:extLst>
        </xdr:cNvPr>
        <xdr:cNvSpPr>
          <a:spLocks noChangeShapeType="1"/>
        </xdr:cNvSpPr>
      </xdr:nvSpPr>
      <xdr:spPr bwMode="auto">
        <a:xfrm>
          <a:off x="3857625" y="10477500"/>
          <a:ext cx="942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71" name="Oval 73">
          <a:extLst>
            <a:ext uri="{FF2B5EF4-FFF2-40B4-BE49-F238E27FC236}">
              <a16:creationId xmlns:a16="http://schemas.microsoft.com/office/drawing/2014/main" id="{00000000-0008-0000-0100-000047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714375</xdr:colOff>
      <xdr:row>42</xdr:row>
      <xdr:rowOff>0</xdr:rowOff>
    </xdr:from>
    <xdr:to>
      <xdr:col>5</xdr:col>
      <xdr:colOff>19050</xdr:colOff>
      <xdr:row>42</xdr:row>
      <xdr:rowOff>0</xdr:rowOff>
    </xdr:to>
    <xdr:sp macro="" textlink="">
      <xdr:nvSpPr>
        <xdr:cNvPr id="72" name="Line 74">
          <a:extLst>
            <a:ext uri="{FF2B5EF4-FFF2-40B4-BE49-F238E27FC236}">
              <a16:creationId xmlns:a16="http://schemas.microsoft.com/office/drawing/2014/main" id="{00000000-0008-0000-0100-000048000000}"/>
            </a:ext>
          </a:extLst>
        </xdr:cNvPr>
        <xdr:cNvSpPr>
          <a:spLocks noChangeShapeType="1"/>
        </xdr:cNvSpPr>
      </xdr:nvSpPr>
      <xdr:spPr bwMode="auto">
        <a:xfrm>
          <a:off x="1952625" y="1047750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42</xdr:row>
      <xdr:rowOff>0</xdr:rowOff>
    </xdr:from>
    <xdr:to>
      <xdr:col>5</xdr:col>
      <xdr:colOff>361950</xdr:colOff>
      <xdr:row>42</xdr:row>
      <xdr:rowOff>0</xdr:rowOff>
    </xdr:to>
    <xdr:sp macro="" textlink="">
      <xdr:nvSpPr>
        <xdr:cNvPr id="73" name="Line 75">
          <a:extLst>
            <a:ext uri="{FF2B5EF4-FFF2-40B4-BE49-F238E27FC236}">
              <a16:creationId xmlns:a16="http://schemas.microsoft.com/office/drawing/2014/main" id="{00000000-0008-0000-0100-000049000000}"/>
            </a:ext>
          </a:extLst>
        </xdr:cNvPr>
        <xdr:cNvSpPr>
          <a:spLocks noChangeShapeType="1"/>
        </xdr:cNvSpPr>
      </xdr:nvSpPr>
      <xdr:spPr bwMode="auto">
        <a:xfrm>
          <a:off x="2190750" y="10477500"/>
          <a:ext cx="200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74" name="Oval 76">
          <a:extLst>
            <a:ext uri="{FF2B5EF4-FFF2-40B4-BE49-F238E27FC236}">
              <a16:creationId xmlns:a16="http://schemas.microsoft.com/office/drawing/2014/main" id="{00000000-0008-0000-0100-00004A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75" name="Oval 77">
          <a:extLst>
            <a:ext uri="{FF2B5EF4-FFF2-40B4-BE49-F238E27FC236}">
              <a16:creationId xmlns:a16="http://schemas.microsoft.com/office/drawing/2014/main" id="{00000000-0008-0000-0100-00004B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76" name="Oval 78">
          <a:extLst>
            <a:ext uri="{FF2B5EF4-FFF2-40B4-BE49-F238E27FC236}">
              <a16:creationId xmlns:a16="http://schemas.microsoft.com/office/drawing/2014/main" id="{00000000-0008-0000-0100-00004C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77" name="Oval 79">
          <a:extLst>
            <a:ext uri="{FF2B5EF4-FFF2-40B4-BE49-F238E27FC236}">
              <a16:creationId xmlns:a16="http://schemas.microsoft.com/office/drawing/2014/main" id="{00000000-0008-0000-0100-00004D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78" name="Oval 80">
          <a:extLst>
            <a:ext uri="{FF2B5EF4-FFF2-40B4-BE49-F238E27FC236}">
              <a16:creationId xmlns:a16="http://schemas.microsoft.com/office/drawing/2014/main" id="{00000000-0008-0000-0100-00004E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79" name="Oval 81">
          <a:extLst>
            <a:ext uri="{FF2B5EF4-FFF2-40B4-BE49-F238E27FC236}">
              <a16:creationId xmlns:a16="http://schemas.microsoft.com/office/drawing/2014/main" id="{00000000-0008-0000-0100-00004F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80" name="Oval 82">
          <a:extLst>
            <a:ext uri="{FF2B5EF4-FFF2-40B4-BE49-F238E27FC236}">
              <a16:creationId xmlns:a16="http://schemas.microsoft.com/office/drawing/2014/main" id="{00000000-0008-0000-0100-000050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81" name="Oval 83">
          <a:extLst>
            <a:ext uri="{FF2B5EF4-FFF2-40B4-BE49-F238E27FC236}">
              <a16:creationId xmlns:a16="http://schemas.microsoft.com/office/drawing/2014/main" id="{00000000-0008-0000-0100-000051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82" name="Oval 84">
          <a:extLst>
            <a:ext uri="{FF2B5EF4-FFF2-40B4-BE49-F238E27FC236}">
              <a16:creationId xmlns:a16="http://schemas.microsoft.com/office/drawing/2014/main" id="{00000000-0008-0000-0100-000052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83" name="Oval 85">
          <a:extLst>
            <a:ext uri="{FF2B5EF4-FFF2-40B4-BE49-F238E27FC236}">
              <a16:creationId xmlns:a16="http://schemas.microsoft.com/office/drawing/2014/main" id="{00000000-0008-0000-0100-000053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84" name="Oval 86">
          <a:extLst>
            <a:ext uri="{FF2B5EF4-FFF2-40B4-BE49-F238E27FC236}">
              <a16:creationId xmlns:a16="http://schemas.microsoft.com/office/drawing/2014/main" id="{00000000-0008-0000-0100-000054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85" name="Oval 87">
          <a:extLst>
            <a:ext uri="{FF2B5EF4-FFF2-40B4-BE49-F238E27FC236}">
              <a16:creationId xmlns:a16="http://schemas.microsoft.com/office/drawing/2014/main" id="{00000000-0008-0000-0100-000055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276225</xdr:colOff>
      <xdr:row>42</xdr:row>
      <xdr:rowOff>0</xdr:rowOff>
    </xdr:from>
    <xdr:to>
      <xdr:col>4</xdr:col>
      <xdr:colOff>371475</xdr:colOff>
      <xdr:row>42</xdr:row>
      <xdr:rowOff>0</xdr:rowOff>
    </xdr:to>
    <xdr:sp macro="" textlink="">
      <xdr:nvSpPr>
        <xdr:cNvPr id="86" name="Oval 88">
          <a:extLst>
            <a:ext uri="{FF2B5EF4-FFF2-40B4-BE49-F238E27FC236}">
              <a16:creationId xmlns:a16="http://schemas.microsoft.com/office/drawing/2014/main" id="{00000000-0008-0000-0100-000056000000}"/>
            </a:ext>
          </a:extLst>
        </xdr:cNvPr>
        <xdr:cNvSpPr>
          <a:spLocks noChangeArrowheads="1"/>
        </xdr:cNvSpPr>
      </xdr:nvSpPr>
      <xdr:spPr bwMode="auto">
        <a:xfrm>
          <a:off x="1514475" y="10477500"/>
          <a:ext cx="9525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276225</xdr:colOff>
      <xdr:row>42</xdr:row>
      <xdr:rowOff>0</xdr:rowOff>
    </xdr:from>
    <xdr:to>
      <xdr:col>4</xdr:col>
      <xdr:colOff>361950</xdr:colOff>
      <xdr:row>42</xdr:row>
      <xdr:rowOff>0</xdr:rowOff>
    </xdr:to>
    <xdr:sp macro="" textlink="">
      <xdr:nvSpPr>
        <xdr:cNvPr id="87" name="Line 89">
          <a:extLst>
            <a:ext uri="{FF2B5EF4-FFF2-40B4-BE49-F238E27FC236}">
              <a16:creationId xmlns:a16="http://schemas.microsoft.com/office/drawing/2014/main" id="{00000000-0008-0000-0100-000057000000}"/>
            </a:ext>
          </a:extLst>
        </xdr:cNvPr>
        <xdr:cNvSpPr>
          <a:spLocks noChangeShapeType="1"/>
        </xdr:cNvSpPr>
      </xdr:nvSpPr>
      <xdr:spPr bwMode="auto">
        <a:xfrm flipH="1">
          <a:off x="15144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42</xdr:row>
      <xdr:rowOff>0</xdr:rowOff>
    </xdr:from>
    <xdr:to>
      <xdr:col>5</xdr:col>
      <xdr:colOff>180975</xdr:colOff>
      <xdr:row>42</xdr:row>
      <xdr:rowOff>0</xdr:rowOff>
    </xdr:to>
    <xdr:sp macro="" textlink="">
      <xdr:nvSpPr>
        <xdr:cNvPr id="88" name="Line 90">
          <a:extLst>
            <a:ext uri="{FF2B5EF4-FFF2-40B4-BE49-F238E27FC236}">
              <a16:creationId xmlns:a16="http://schemas.microsoft.com/office/drawing/2014/main" id="{00000000-0008-0000-0100-000058000000}"/>
            </a:ext>
          </a:extLst>
        </xdr:cNvPr>
        <xdr:cNvSpPr>
          <a:spLocks noChangeShapeType="1"/>
        </xdr:cNvSpPr>
      </xdr:nvSpPr>
      <xdr:spPr bwMode="auto">
        <a:xfrm>
          <a:off x="21240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42</xdr:row>
      <xdr:rowOff>0</xdr:rowOff>
    </xdr:from>
    <xdr:to>
      <xdr:col>5</xdr:col>
      <xdr:colOff>180975</xdr:colOff>
      <xdr:row>42</xdr:row>
      <xdr:rowOff>0</xdr:rowOff>
    </xdr:to>
    <xdr:sp macro="" textlink="">
      <xdr:nvSpPr>
        <xdr:cNvPr id="89" name="Line 91">
          <a:extLst>
            <a:ext uri="{FF2B5EF4-FFF2-40B4-BE49-F238E27FC236}">
              <a16:creationId xmlns:a16="http://schemas.microsoft.com/office/drawing/2014/main" id="{00000000-0008-0000-0100-000059000000}"/>
            </a:ext>
          </a:extLst>
        </xdr:cNvPr>
        <xdr:cNvSpPr>
          <a:spLocks noChangeShapeType="1"/>
        </xdr:cNvSpPr>
      </xdr:nvSpPr>
      <xdr:spPr bwMode="auto">
        <a:xfrm>
          <a:off x="21240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85725</xdr:colOff>
      <xdr:row>42</xdr:row>
      <xdr:rowOff>0</xdr:rowOff>
    </xdr:from>
    <xdr:to>
      <xdr:col>8</xdr:col>
      <xdr:colOff>352425</xdr:colOff>
      <xdr:row>42</xdr:row>
      <xdr:rowOff>0</xdr:rowOff>
    </xdr:to>
    <xdr:sp macro="" textlink="">
      <xdr:nvSpPr>
        <xdr:cNvPr id="90" name="Line 92">
          <a:extLst>
            <a:ext uri="{FF2B5EF4-FFF2-40B4-BE49-F238E27FC236}">
              <a16:creationId xmlns:a16="http://schemas.microsoft.com/office/drawing/2014/main" id="{00000000-0008-0000-0100-00005A000000}"/>
            </a:ext>
          </a:extLst>
        </xdr:cNvPr>
        <xdr:cNvSpPr>
          <a:spLocks noChangeShapeType="1"/>
        </xdr:cNvSpPr>
      </xdr:nvSpPr>
      <xdr:spPr bwMode="auto">
        <a:xfrm>
          <a:off x="2819400" y="10477500"/>
          <a:ext cx="1638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91" name="Oval 93">
          <a:extLst>
            <a:ext uri="{FF2B5EF4-FFF2-40B4-BE49-F238E27FC236}">
              <a16:creationId xmlns:a16="http://schemas.microsoft.com/office/drawing/2014/main" id="{00000000-0008-0000-0100-00005B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361950</xdr:colOff>
      <xdr:row>42</xdr:row>
      <xdr:rowOff>0</xdr:rowOff>
    </xdr:from>
    <xdr:to>
      <xdr:col>4</xdr:col>
      <xdr:colOff>590550</xdr:colOff>
      <xdr:row>42</xdr:row>
      <xdr:rowOff>0</xdr:rowOff>
    </xdr:to>
    <xdr:sp macro="" textlink="">
      <xdr:nvSpPr>
        <xdr:cNvPr id="92" name="Line 94">
          <a:extLst>
            <a:ext uri="{FF2B5EF4-FFF2-40B4-BE49-F238E27FC236}">
              <a16:creationId xmlns:a16="http://schemas.microsoft.com/office/drawing/2014/main" id="{00000000-0008-0000-0100-00005C000000}"/>
            </a:ext>
          </a:extLst>
        </xdr:cNvPr>
        <xdr:cNvSpPr>
          <a:spLocks noChangeShapeType="1"/>
        </xdr:cNvSpPr>
      </xdr:nvSpPr>
      <xdr:spPr bwMode="auto">
        <a:xfrm>
          <a:off x="1600200" y="10477500"/>
          <a:ext cx="228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276225</xdr:colOff>
      <xdr:row>42</xdr:row>
      <xdr:rowOff>0</xdr:rowOff>
    </xdr:from>
    <xdr:to>
      <xdr:col>4</xdr:col>
      <xdr:colOff>371475</xdr:colOff>
      <xdr:row>42</xdr:row>
      <xdr:rowOff>0</xdr:rowOff>
    </xdr:to>
    <xdr:sp macro="" textlink="">
      <xdr:nvSpPr>
        <xdr:cNvPr id="93" name="Oval 95">
          <a:extLst>
            <a:ext uri="{FF2B5EF4-FFF2-40B4-BE49-F238E27FC236}">
              <a16:creationId xmlns:a16="http://schemas.microsoft.com/office/drawing/2014/main" id="{00000000-0008-0000-0100-00005D000000}"/>
            </a:ext>
          </a:extLst>
        </xdr:cNvPr>
        <xdr:cNvSpPr>
          <a:spLocks noChangeArrowheads="1"/>
        </xdr:cNvSpPr>
      </xdr:nvSpPr>
      <xdr:spPr bwMode="auto">
        <a:xfrm>
          <a:off x="1514475" y="10477500"/>
          <a:ext cx="9525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276225</xdr:colOff>
      <xdr:row>42</xdr:row>
      <xdr:rowOff>0</xdr:rowOff>
    </xdr:from>
    <xdr:to>
      <xdr:col>4</xdr:col>
      <xdr:colOff>361950</xdr:colOff>
      <xdr:row>42</xdr:row>
      <xdr:rowOff>0</xdr:rowOff>
    </xdr:to>
    <xdr:sp macro="" textlink="">
      <xdr:nvSpPr>
        <xdr:cNvPr id="94" name="Line 96">
          <a:extLst>
            <a:ext uri="{FF2B5EF4-FFF2-40B4-BE49-F238E27FC236}">
              <a16:creationId xmlns:a16="http://schemas.microsoft.com/office/drawing/2014/main" id="{00000000-0008-0000-0100-00005E000000}"/>
            </a:ext>
          </a:extLst>
        </xdr:cNvPr>
        <xdr:cNvSpPr>
          <a:spLocks noChangeShapeType="1"/>
        </xdr:cNvSpPr>
      </xdr:nvSpPr>
      <xdr:spPr bwMode="auto">
        <a:xfrm flipH="1">
          <a:off x="15144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42</xdr:row>
      <xdr:rowOff>0</xdr:rowOff>
    </xdr:from>
    <xdr:to>
      <xdr:col>5</xdr:col>
      <xdr:colOff>180975</xdr:colOff>
      <xdr:row>42</xdr:row>
      <xdr:rowOff>0</xdr:rowOff>
    </xdr:to>
    <xdr:sp macro="" textlink="">
      <xdr:nvSpPr>
        <xdr:cNvPr id="95" name="Line 97">
          <a:extLst>
            <a:ext uri="{FF2B5EF4-FFF2-40B4-BE49-F238E27FC236}">
              <a16:creationId xmlns:a16="http://schemas.microsoft.com/office/drawing/2014/main" id="{00000000-0008-0000-0100-00005F000000}"/>
            </a:ext>
          </a:extLst>
        </xdr:cNvPr>
        <xdr:cNvSpPr>
          <a:spLocks noChangeShapeType="1"/>
        </xdr:cNvSpPr>
      </xdr:nvSpPr>
      <xdr:spPr bwMode="auto">
        <a:xfrm>
          <a:off x="21240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42</xdr:row>
      <xdr:rowOff>0</xdr:rowOff>
    </xdr:from>
    <xdr:to>
      <xdr:col>5</xdr:col>
      <xdr:colOff>180975</xdr:colOff>
      <xdr:row>42</xdr:row>
      <xdr:rowOff>0</xdr:rowOff>
    </xdr:to>
    <xdr:sp macro="" textlink="">
      <xdr:nvSpPr>
        <xdr:cNvPr id="96" name="Line 98">
          <a:extLst>
            <a:ext uri="{FF2B5EF4-FFF2-40B4-BE49-F238E27FC236}">
              <a16:creationId xmlns:a16="http://schemas.microsoft.com/office/drawing/2014/main" id="{00000000-0008-0000-0100-000060000000}"/>
            </a:ext>
          </a:extLst>
        </xdr:cNvPr>
        <xdr:cNvSpPr>
          <a:spLocks noChangeShapeType="1"/>
        </xdr:cNvSpPr>
      </xdr:nvSpPr>
      <xdr:spPr bwMode="auto">
        <a:xfrm>
          <a:off x="21240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97" name="Line 99">
          <a:extLst>
            <a:ext uri="{FF2B5EF4-FFF2-40B4-BE49-F238E27FC236}">
              <a16:creationId xmlns:a16="http://schemas.microsoft.com/office/drawing/2014/main" id="{00000000-0008-0000-0100-000061000000}"/>
            </a:ext>
          </a:extLst>
        </xdr:cNvPr>
        <xdr:cNvSpPr>
          <a:spLocks noChangeShapeType="1"/>
        </xdr:cNvSpPr>
      </xdr:nvSpPr>
      <xdr:spPr bwMode="auto">
        <a:xfrm>
          <a:off x="27336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98" name="Line 100">
          <a:extLst>
            <a:ext uri="{FF2B5EF4-FFF2-40B4-BE49-F238E27FC236}">
              <a16:creationId xmlns:a16="http://schemas.microsoft.com/office/drawing/2014/main" id="{00000000-0008-0000-0100-000062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352425</xdr:colOff>
      <xdr:row>42</xdr:row>
      <xdr:rowOff>0</xdr:rowOff>
    </xdr:from>
    <xdr:to>
      <xdr:col>9</xdr:col>
      <xdr:colOff>0</xdr:colOff>
      <xdr:row>42</xdr:row>
      <xdr:rowOff>0</xdr:rowOff>
    </xdr:to>
    <xdr:sp macro="" textlink="">
      <xdr:nvSpPr>
        <xdr:cNvPr id="99" name="Line 101">
          <a:extLst>
            <a:ext uri="{FF2B5EF4-FFF2-40B4-BE49-F238E27FC236}">
              <a16:creationId xmlns:a16="http://schemas.microsoft.com/office/drawing/2014/main" id="{00000000-0008-0000-0100-000063000000}"/>
            </a:ext>
          </a:extLst>
        </xdr:cNvPr>
        <xdr:cNvSpPr>
          <a:spLocks noChangeShapeType="1"/>
        </xdr:cNvSpPr>
      </xdr:nvSpPr>
      <xdr:spPr bwMode="auto">
        <a:xfrm flipH="1">
          <a:off x="4457700" y="10477500"/>
          <a:ext cx="219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42</xdr:row>
      <xdr:rowOff>0</xdr:rowOff>
    </xdr:from>
    <xdr:to>
      <xdr:col>6</xdr:col>
      <xdr:colOff>123825</xdr:colOff>
      <xdr:row>42</xdr:row>
      <xdr:rowOff>0</xdr:rowOff>
    </xdr:to>
    <xdr:sp macro="" textlink="">
      <xdr:nvSpPr>
        <xdr:cNvPr id="100" name="Line 102">
          <a:extLst>
            <a:ext uri="{FF2B5EF4-FFF2-40B4-BE49-F238E27FC236}">
              <a16:creationId xmlns:a16="http://schemas.microsoft.com/office/drawing/2014/main" id="{00000000-0008-0000-0100-000064000000}"/>
            </a:ext>
          </a:extLst>
        </xdr:cNvPr>
        <xdr:cNvSpPr>
          <a:spLocks noChangeShapeType="1"/>
        </xdr:cNvSpPr>
      </xdr:nvSpPr>
      <xdr:spPr bwMode="auto">
        <a:xfrm>
          <a:off x="2733675" y="10477500"/>
          <a:ext cx="123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42</xdr:row>
      <xdr:rowOff>0</xdr:rowOff>
    </xdr:from>
    <xdr:to>
      <xdr:col>6</xdr:col>
      <xdr:colOff>104775</xdr:colOff>
      <xdr:row>42</xdr:row>
      <xdr:rowOff>0</xdr:rowOff>
    </xdr:to>
    <xdr:sp macro="" textlink="">
      <xdr:nvSpPr>
        <xdr:cNvPr id="101" name="Line 103">
          <a:extLst>
            <a:ext uri="{FF2B5EF4-FFF2-40B4-BE49-F238E27FC236}">
              <a16:creationId xmlns:a16="http://schemas.microsoft.com/office/drawing/2014/main" id="{00000000-0008-0000-0100-000065000000}"/>
            </a:ext>
          </a:extLst>
        </xdr:cNvPr>
        <xdr:cNvSpPr>
          <a:spLocks noChangeShapeType="1"/>
        </xdr:cNvSpPr>
      </xdr:nvSpPr>
      <xdr:spPr bwMode="auto">
        <a:xfrm>
          <a:off x="2733675" y="1047750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352425</xdr:colOff>
      <xdr:row>42</xdr:row>
      <xdr:rowOff>0</xdr:rowOff>
    </xdr:from>
    <xdr:to>
      <xdr:col>9</xdr:col>
      <xdr:colOff>0</xdr:colOff>
      <xdr:row>42</xdr:row>
      <xdr:rowOff>0</xdr:rowOff>
    </xdr:to>
    <xdr:sp macro="" textlink="">
      <xdr:nvSpPr>
        <xdr:cNvPr id="102" name="Line 104">
          <a:extLst>
            <a:ext uri="{FF2B5EF4-FFF2-40B4-BE49-F238E27FC236}">
              <a16:creationId xmlns:a16="http://schemas.microsoft.com/office/drawing/2014/main" id="{00000000-0008-0000-0100-000066000000}"/>
            </a:ext>
          </a:extLst>
        </xdr:cNvPr>
        <xdr:cNvSpPr>
          <a:spLocks noChangeShapeType="1"/>
        </xdr:cNvSpPr>
      </xdr:nvSpPr>
      <xdr:spPr bwMode="auto">
        <a:xfrm flipH="1">
          <a:off x="4457700" y="10477500"/>
          <a:ext cx="219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03" name="Oval 105">
          <a:extLst>
            <a:ext uri="{FF2B5EF4-FFF2-40B4-BE49-F238E27FC236}">
              <a16:creationId xmlns:a16="http://schemas.microsoft.com/office/drawing/2014/main" id="{00000000-0008-0000-0100-000067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04" name="Oval 106">
          <a:extLst>
            <a:ext uri="{FF2B5EF4-FFF2-40B4-BE49-F238E27FC236}">
              <a16:creationId xmlns:a16="http://schemas.microsoft.com/office/drawing/2014/main" id="{00000000-0008-0000-0100-000068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95250</xdr:colOff>
      <xdr:row>42</xdr:row>
      <xdr:rowOff>0</xdr:rowOff>
    </xdr:from>
    <xdr:to>
      <xdr:col>12</xdr:col>
      <xdr:colOff>190500</xdr:colOff>
      <xdr:row>42</xdr:row>
      <xdr:rowOff>0</xdr:rowOff>
    </xdr:to>
    <xdr:sp macro="" textlink="">
      <xdr:nvSpPr>
        <xdr:cNvPr id="105" name="Oval 107">
          <a:extLst>
            <a:ext uri="{FF2B5EF4-FFF2-40B4-BE49-F238E27FC236}">
              <a16:creationId xmlns:a16="http://schemas.microsoft.com/office/drawing/2014/main" id="{00000000-0008-0000-0100-000069000000}"/>
            </a:ext>
          </a:extLst>
        </xdr:cNvPr>
        <xdr:cNvSpPr>
          <a:spLocks noChangeArrowheads="1"/>
        </xdr:cNvSpPr>
      </xdr:nvSpPr>
      <xdr:spPr bwMode="auto">
        <a:xfrm>
          <a:off x="6572250" y="10477500"/>
          <a:ext cx="9525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06" name="Oval 108">
          <a:extLst>
            <a:ext uri="{FF2B5EF4-FFF2-40B4-BE49-F238E27FC236}">
              <a16:creationId xmlns:a16="http://schemas.microsoft.com/office/drawing/2014/main" id="{00000000-0008-0000-0100-00006A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95250</xdr:colOff>
      <xdr:row>42</xdr:row>
      <xdr:rowOff>0</xdr:rowOff>
    </xdr:from>
    <xdr:to>
      <xdr:col>7</xdr:col>
      <xdr:colOff>190500</xdr:colOff>
      <xdr:row>42</xdr:row>
      <xdr:rowOff>0</xdr:rowOff>
    </xdr:to>
    <xdr:sp macro="" textlink="">
      <xdr:nvSpPr>
        <xdr:cNvPr id="107" name="Oval 109">
          <a:extLst>
            <a:ext uri="{FF2B5EF4-FFF2-40B4-BE49-F238E27FC236}">
              <a16:creationId xmlns:a16="http://schemas.microsoft.com/office/drawing/2014/main" id="{00000000-0008-0000-0100-00006B000000}"/>
            </a:ext>
          </a:extLst>
        </xdr:cNvPr>
        <xdr:cNvSpPr>
          <a:spLocks noChangeArrowheads="1"/>
        </xdr:cNvSpPr>
      </xdr:nvSpPr>
      <xdr:spPr bwMode="auto">
        <a:xfrm>
          <a:off x="3543300" y="10477500"/>
          <a:ext cx="9525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08" name="Oval 110">
          <a:extLst>
            <a:ext uri="{FF2B5EF4-FFF2-40B4-BE49-F238E27FC236}">
              <a16:creationId xmlns:a16="http://schemas.microsoft.com/office/drawing/2014/main" id="{00000000-0008-0000-0100-00006C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09" name="Oval 111">
          <a:extLst>
            <a:ext uri="{FF2B5EF4-FFF2-40B4-BE49-F238E27FC236}">
              <a16:creationId xmlns:a16="http://schemas.microsoft.com/office/drawing/2014/main" id="{00000000-0008-0000-0100-00006D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10" name="Oval 112">
          <a:extLst>
            <a:ext uri="{FF2B5EF4-FFF2-40B4-BE49-F238E27FC236}">
              <a16:creationId xmlns:a16="http://schemas.microsoft.com/office/drawing/2014/main" id="{00000000-0008-0000-0100-00006E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11" name="Oval 113">
          <a:extLst>
            <a:ext uri="{FF2B5EF4-FFF2-40B4-BE49-F238E27FC236}">
              <a16:creationId xmlns:a16="http://schemas.microsoft.com/office/drawing/2014/main" id="{00000000-0008-0000-0100-00006F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12" name="Oval 114">
          <a:extLst>
            <a:ext uri="{FF2B5EF4-FFF2-40B4-BE49-F238E27FC236}">
              <a16:creationId xmlns:a16="http://schemas.microsoft.com/office/drawing/2014/main" id="{00000000-0008-0000-0100-000070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13" name="Oval 115">
          <a:extLst>
            <a:ext uri="{FF2B5EF4-FFF2-40B4-BE49-F238E27FC236}">
              <a16:creationId xmlns:a16="http://schemas.microsoft.com/office/drawing/2014/main" id="{00000000-0008-0000-0100-000071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14" name="Oval 116">
          <a:extLst>
            <a:ext uri="{FF2B5EF4-FFF2-40B4-BE49-F238E27FC236}">
              <a16:creationId xmlns:a16="http://schemas.microsoft.com/office/drawing/2014/main" id="{00000000-0008-0000-0100-000072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15" name="Oval 117">
          <a:extLst>
            <a:ext uri="{FF2B5EF4-FFF2-40B4-BE49-F238E27FC236}">
              <a16:creationId xmlns:a16="http://schemas.microsoft.com/office/drawing/2014/main" id="{00000000-0008-0000-0100-000073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16" name="Oval 118">
          <a:extLst>
            <a:ext uri="{FF2B5EF4-FFF2-40B4-BE49-F238E27FC236}">
              <a16:creationId xmlns:a16="http://schemas.microsoft.com/office/drawing/2014/main" id="{00000000-0008-0000-0100-000074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28575</xdr:colOff>
      <xdr:row>42</xdr:row>
      <xdr:rowOff>0</xdr:rowOff>
    </xdr:from>
    <xdr:to>
      <xdr:col>11</xdr:col>
      <xdr:colOff>114300</xdr:colOff>
      <xdr:row>42</xdr:row>
      <xdr:rowOff>0</xdr:rowOff>
    </xdr:to>
    <xdr:sp macro="" textlink="">
      <xdr:nvSpPr>
        <xdr:cNvPr id="117" name="Oval 119">
          <a:extLst>
            <a:ext uri="{FF2B5EF4-FFF2-40B4-BE49-F238E27FC236}">
              <a16:creationId xmlns:a16="http://schemas.microsoft.com/office/drawing/2014/main" id="{00000000-0008-0000-0100-000075000000}"/>
            </a:ext>
          </a:extLst>
        </xdr:cNvPr>
        <xdr:cNvSpPr>
          <a:spLocks noChangeArrowheads="1"/>
        </xdr:cNvSpPr>
      </xdr:nvSpPr>
      <xdr:spPr bwMode="auto">
        <a:xfrm>
          <a:off x="5915025" y="10477500"/>
          <a:ext cx="857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18" name="Oval 120">
          <a:extLst>
            <a:ext uri="{FF2B5EF4-FFF2-40B4-BE49-F238E27FC236}">
              <a16:creationId xmlns:a16="http://schemas.microsoft.com/office/drawing/2014/main" id="{00000000-0008-0000-0100-000076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119" name="Oval 121">
          <a:extLst>
            <a:ext uri="{FF2B5EF4-FFF2-40B4-BE49-F238E27FC236}">
              <a16:creationId xmlns:a16="http://schemas.microsoft.com/office/drawing/2014/main" id="{00000000-0008-0000-0100-000077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120" name="Oval 122">
          <a:extLst>
            <a:ext uri="{FF2B5EF4-FFF2-40B4-BE49-F238E27FC236}">
              <a16:creationId xmlns:a16="http://schemas.microsoft.com/office/drawing/2014/main" id="{00000000-0008-0000-0100-000078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76200</xdr:colOff>
      <xdr:row>42</xdr:row>
      <xdr:rowOff>0</xdr:rowOff>
    </xdr:from>
    <xdr:to>
      <xdr:col>12</xdr:col>
      <xdr:colOff>76200</xdr:colOff>
      <xdr:row>42</xdr:row>
      <xdr:rowOff>0</xdr:rowOff>
    </xdr:to>
    <xdr:sp macro="" textlink="">
      <xdr:nvSpPr>
        <xdr:cNvPr id="121" name="Oval 123">
          <a:extLst>
            <a:ext uri="{FF2B5EF4-FFF2-40B4-BE49-F238E27FC236}">
              <a16:creationId xmlns:a16="http://schemas.microsoft.com/office/drawing/2014/main" id="{00000000-0008-0000-0100-000079000000}"/>
            </a:ext>
          </a:extLst>
        </xdr:cNvPr>
        <xdr:cNvSpPr>
          <a:spLocks noChangeArrowheads="1"/>
        </xdr:cNvSpPr>
      </xdr:nvSpPr>
      <xdr:spPr bwMode="auto">
        <a:xfrm>
          <a:off x="655320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122" name="Oval 124">
          <a:extLst>
            <a:ext uri="{FF2B5EF4-FFF2-40B4-BE49-F238E27FC236}">
              <a16:creationId xmlns:a16="http://schemas.microsoft.com/office/drawing/2014/main" id="{00000000-0008-0000-0100-00007A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23" name="Oval 125">
          <a:extLst>
            <a:ext uri="{FF2B5EF4-FFF2-40B4-BE49-F238E27FC236}">
              <a16:creationId xmlns:a16="http://schemas.microsoft.com/office/drawing/2014/main" id="{00000000-0008-0000-0100-00007B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24" name="Oval 126">
          <a:extLst>
            <a:ext uri="{FF2B5EF4-FFF2-40B4-BE49-F238E27FC236}">
              <a16:creationId xmlns:a16="http://schemas.microsoft.com/office/drawing/2014/main" id="{00000000-0008-0000-0100-00007C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25" name="Oval 127">
          <a:extLst>
            <a:ext uri="{FF2B5EF4-FFF2-40B4-BE49-F238E27FC236}">
              <a16:creationId xmlns:a16="http://schemas.microsoft.com/office/drawing/2014/main" id="{00000000-0008-0000-0100-00007D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26" name="Oval 128">
          <a:extLst>
            <a:ext uri="{FF2B5EF4-FFF2-40B4-BE49-F238E27FC236}">
              <a16:creationId xmlns:a16="http://schemas.microsoft.com/office/drawing/2014/main" id="{00000000-0008-0000-0100-00007E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27" name="Oval 129">
          <a:extLst>
            <a:ext uri="{FF2B5EF4-FFF2-40B4-BE49-F238E27FC236}">
              <a16:creationId xmlns:a16="http://schemas.microsoft.com/office/drawing/2014/main" id="{00000000-0008-0000-0100-00007F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428625</xdr:colOff>
      <xdr:row>42</xdr:row>
      <xdr:rowOff>0</xdr:rowOff>
    </xdr:from>
    <xdr:to>
      <xdr:col>12</xdr:col>
      <xdr:colOff>0</xdr:colOff>
      <xdr:row>42</xdr:row>
      <xdr:rowOff>0</xdr:rowOff>
    </xdr:to>
    <xdr:sp macro="" textlink="">
      <xdr:nvSpPr>
        <xdr:cNvPr id="128" name="Line 130">
          <a:extLst>
            <a:ext uri="{FF2B5EF4-FFF2-40B4-BE49-F238E27FC236}">
              <a16:creationId xmlns:a16="http://schemas.microsoft.com/office/drawing/2014/main" id="{00000000-0008-0000-0100-000080000000}"/>
            </a:ext>
          </a:extLst>
        </xdr:cNvPr>
        <xdr:cNvSpPr>
          <a:spLocks noChangeShapeType="1"/>
        </xdr:cNvSpPr>
      </xdr:nvSpPr>
      <xdr:spPr bwMode="auto">
        <a:xfrm flipH="1">
          <a:off x="6315075" y="10477500"/>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409575</xdr:colOff>
      <xdr:row>42</xdr:row>
      <xdr:rowOff>0</xdr:rowOff>
    </xdr:from>
    <xdr:to>
      <xdr:col>12</xdr:col>
      <xdr:colOff>0</xdr:colOff>
      <xdr:row>42</xdr:row>
      <xdr:rowOff>0</xdr:rowOff>
    </xdr:to>
    <xdr:sp macro="" textlink="">
      <xdr:nvSpPr>
        <xdr:cNvPr id="129" name="Line 131">
          <a:extLst>
            <a:ext uri="{FF2B5EF4-FFF2-40B4-BE49-F238E27FC236}">
              <a16:creationId xmlns:a16="http://schemas.microsoft.com/office/drawing/2014/main" id="{00000000-0008-0000-0100-000081000000}"/>
            </a:ext>
          </a:extLst>
        </xdr:cNvPr>
        <xdr:cNvSpPr>
          <a:spLocks noChangeShapeType="1"/>
        </xdr:cNvSpPr>
      </xdr:nvSpPr>
      <xdr:spPr bwMode="auto">
        <a:xfrm flipH="1">
          <a:off x="6296025" y="10477500"/>
          <a:ext cx="180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42</xdr:row>
      <xdr:rowOff>0</xdr:rowOff>
    </xdr:from>
    <xdr:to>
      <xdr:col>12</xdr:col>
      <xdr:colOff>114300</xdr:colOff>
      <xdr:row>42</xdr:row>
      <xdr:rowOff>0</xdr:rowOff>
    </xdr:to>
    <xdr:sp macro="" textlink="">
      <xdr:nvSpPr>
        <xdr:cNvPr id="130" name="Line 132">
          <a:extLst>
            <a:ext uri="{FF2B5EF4-FFF2-40B4-BE49-F238E27FC236}">
              <a16:creationId xmlns:a16="http://schemas.microsoft.com/office/drawing/2014/main" id="{00000000-0008-0000-0100-000082000000}"/>
            </a:ext>
          </a:extLst>
        </xdr:cNvPr>
        <xdr:cNvSpPr>
          <a:spLocks noChangeShapeType="1"/>
        </xdr:cNvSpPr>
      </xdr:nvSpPr>
      <xdr:spPr bwMode="auto">
        <a:xfrm>
          <a:off x="6477000" y="10477500"/>
          <a:ext cx="11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31" name="Oval 133">
          <a:extLst>
            <a:ext uri="{FF2B5EF4-FFF2-40B4-BE49-F238E27FC236}">
              <a16:creationId xmlns:a16="http://schemas.microsoft.com/office/drawing/2014/main" id="{00000000-0008-0000-0100-000083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466725</xdr:colOff>
      <xdr:row>42</xdr:row>
      <xdr:rowOff>0</xdr:rowOff>
    </xdr:from>
    <xdr:to>
      <xdr:col>12</xdr:col>
      <xdr:colOff>0</xdr:colOff>
      <xdr:row>42</xdr:row>
      <xdr:rowOff>0</xdr:rowOff>
    </xdr:to>
    <xdr:sp macro="" textlink="">
      <xdr:nvSpPr>
        <xdr:cNvPr id="132" name="Line 134">
          <a:extLst>
            <a:ext uri="{FF2B5EF4-FFF2-40B4-BE49-F238E27FC236}">
              <a16:creationId xmlns:a16="http://schemas.microsoft.com/office/drawing/2014/main" id="{00000000-0008-0000-0100-000084000000}"/>
            </a:ext>
          </a:extLst>
        </xdr:cNvPr>
        <xdr:cNvSpPr>
          <a:spLocks noChangeShapeType="1"/>
        </xdr:cNvSpPr>
      </xdr:nvSpPr>
      <xdr:spPr bwMode="auto">
        <a:xfrm>
          <a:off x="6353175" y="10477500"/>
          <a:ext cx="123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42</xdr:row>
      <xdr:rowOff>0</xdr:rowOff>
    </xdr:from>
    <xdr:to>
      <xdr:col>12</xdr:col>
      <xdr:colOff>0</xdr:colOff>
      <xdr:row>42</xdr:row>
      <xdr:rowOff>0</xdr:rowOff>
    </xdr:to>
    <xdr:sp macro="" textlink="">
      <xdr:nvSpPr>
        <xdr:cNvPr id="133" name="Line 135">
          <a:extLst>
            <a:ext uri="{FF2B5EF4-FFF2-40B4-BE49-F238E27FC236}">
              <a16:creationId xmlns:a16="http://schemas.microsoft.com/office/drawing/2014/main" id="{00000000-0008-0000-0100-000085000000}"/>
            </a:ext>
          </a:extLst>
        </xdr:cNvPr>
        <xdr:cNvSpPr>
          <a:spLocks noChangeShapeType="1"/>
        </xdr:cNvSpPr>
      </xdr:nvSpPr>
      <xdr:spPr bwMode="auto">
        <a:xfrm>
          <a:off x="647700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457200</xdr:colOff>
      <xdr:row>42</xdr:row>
      <xdr:rowOff>0</xdr:rowOff>
    </xdr:from>
    <xdr:to>
      <xdr:col>12</xdr:col>
      <xdr:colOff>0</xdr:colOff>
      <xdr:row>42</xdr:row>
      <xdr:rowOff>0</xdr:rowOff>
    </xdr:to>
    <xdr:sp macro="" textlink="">
      <xdr:nvSpPr>
        <xdr:cNvPr id="134" name="Line 136">
          <a:extLst>
            <a:ext uri="{FF2B5EF4-FFF2-40B4-BE49-F238E27FC236}">
              <a16:creationId xmlns:a16="http://schemas.microsoft.com/office/drawing/2014/main" id="{00000000-0008-0000-0100-000086000000}"/>
            </a:ext>
          </a:extLst>
        </xdr:cNvPr>
        <xdr:cNvSpPr>
          <a:spLocks noChangeShapeType="1"/>
        </xdr:cNvSpPr>
      </xdr:nvSpPr>
      <xdr:spPr bwMode="auto">
        <a:xfrm flipH="1">
          <a:off x="6343650" y="10477500"/>
          <a:ext cx="133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42</xdr:row>
      <xdr:rowOff>0</xdr:rowOff>
    </xdr:from>
    <xdr:to>
      <xdr:col>12</xdr:col>
      <xdr:colOff>85725</xdr:colOff>
      <xdr:row>42</xdr:row>
      <xdr:rowOff>0</xdr:rowOff>
    </xdr:to>
    <xdr:sp macro="" textlink="">
      <xdr:nvSpPr>
        <xdr:cNvPr id="135" name="Line 137">
          <a:extLst>
            <a:ext uri="{FF2B5EF4-FFF2-40B4-BE49-F238E27FC236}">
              <a16:creationId xmlns:a16="http://schemas.microsoft.com/office/drawing/2014/main" id="{00000000-0008-0000-0100-000087000000}"/>
            </a:ext>
          </a:extLst>
        </xdr:cNvPr>
        <xdr:cNvSpPr>
          <a:spLocks noChangeShapeType="1"/>
        </xdr:cNvSpPr>
      </xdr:nvSpPr>
      <xdr:spPr bwMode="auto">
        <a:xfrm>
          <a:off x="6477000"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36" name="Oval 138">
          <a:extLst>
            <a:ext uri="{FF2B5EF4-FFF2-40B4-BE49-F238E27FC236}">
              <a16:creationId xmlns:a16="http://schemas.microsoft.com/office/drawing/2014/main" id="{00000000-0008-0000-0100-000088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37" name="Oval 139">
          <a:extLst>
            <a:ext uri="{FF2B5EF4-FFF2-40B4-BE49-F238E27FC236}">
              <a16:creationId xmlns:a16="http://schemas.microsoft.com/office/drawing/2014/main" id="{00000000-0008-0000-0100-000089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38" name="Oval 140">
          <a:extLst>
            <a:ext uri="{FF2B5EF4-FFF2-40B4-BE49-F238E27FC236}">
              <a16:creationId xmlns:a16="http://schemas.microsoft.com/office/drawing/2014/main" id="{00000000-0008-0000-0100-00008A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39" name="Oval 141">
          <a:extLst>
            <a:ext uri="{FF2B5EF4-FFF2-40B4-BE49-F238E27FC236}">
              <a16:creationId xmlns:a16="http://schemas.microsoft.com/office/drawing/2014/main" id="{00000000-0008-0000-0100-00008B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40" name="Oval 142">
          <a:extLst>
            <a:ext uri="{FF2B5EF4-FFF2-40B4-BE49-F238E27FC236}">
              <a16:creationId xmlns:a16="http://schemas.microsoft.com/office/drawing/2014/main" id="{00000000-0008-0000-0100-00008C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41" name="Oval 143">
          <a:extLst>
            <a:ext uri="{FF2B5EF4-FFF2-40B4-BE49-F238E27FC236}">
              <a16:creationId xmlns:a16="http://schemas.microsoft.com/office/drawing/2014/main" id="{00000000-0008-0000-0100-00008D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42</xdr:row>
      <xdr:rowOff>0</xdr:rowOff>
    </xdr:from>
    <xdr:to>
      <xdr:col>6</xdr:col>
      <xdr:colOff>266700</xdr:colOff>
      <xdr:row>42</xdr:row>
      <xdr:rowOff>0</xdr:rowOff>
    </xdr:to>
    <xdr:sp macro="" textlink="">
      <xdr:nvSpPr>
        <xdr:cNvPr id="142" name="Line 144">
          <a:extLst>
            <a:ext uri="{FF2B5EF4-FFF2-40B4-BE49-F238E27FC236}">
              <a16:creationId xmlns:a16="http://schemas.microsoft.com/office/drawing/2014/main" id="{00000000-0008-0000-0100-00008E000000}"/>
            </a:ext>
          </a:extLst>
        </xdr:cNvPr>
        <xdr:cNvSpPr>
          <a:spLocks noChangeShapeType="1"/>
        </xdr:cNvSpPr>
      </xdr:nvSpPr>
      <xdr:spPr bwMode="auto">
        <a:xfrm>
          <a:off x="2028825" y="10477500"/>
          <a:ext cx="971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42</xdr:row>
      <xdr:rowOff>0</xdr:rowOff>
    </xdr:from>
    <xdr:to>
      <xdr:col>3</xdr:col>
      <xdr:colOff>704850</xdr:colOff>
      <xdr:row>42</xdr:row>
      <xdr:rowOff>0</xdr:rowOff>
    </xdr:to>
    <xdr:sp macro="" textlink="">
      <xdr:nvSpPr>
        <xdr:cNvPr id="143" name="Line 145">
          <a:extLst>
            <a:ext uri="{FF2B5EF4-FFF2-40B4-BE49-F238E27FC236}">
              <a16:creationId xmlns:a16="http://schemas.microsoft.com/office/drawing/2014/main" id="{00000000-0008-0000-0100-00008F000000}"/>
            </a:ext>
          </a:extLst>
        </xdr:cNvPr>
        <xdr:cNvSpPr>
          <a:spLocks noChangeShapeType="1"/>
        </xdr:cNvSpPr>
      </xdr:nvSpPr>
      <xdr:spPr bwMode="auto">
        <a:xfrm>
          <a:off x="504825" y="10477500"/>
          <a:ext cx="704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144" name="Line 146">
          <a:extLst>
            <a:ext uri="{FF2B5EF4-FFF2-40B4-BE49-F238E27FC236}">
              <a16:creationId xmlns:a16="http://schemas.microsoft.com/office/drawing/2014/main" id="{00000000-0008-0000-0100-000090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11</xdr:col>
      <xdr:colOff>0</xdr:colOff>
      <xdr:row>42</xdr:row>
      <xdr:rowOff>0</xdr:rowOff>
    </xdr:to>
    <xdr:sp macro="" textlink="">
      <xdr:nvSpPr>
        <xdr:cNvPr id="145" name="Line 147">
          <a:extLst>
            <a:ext uri="{FF2B5EF4-FFF2-40B4-BE49-F238E27FC236}">
              <a16:creationId xmlns:a16="http://schemas.microsoft.com/office/drawing/2014/main" id="{00000000-0008-0000-0100-000091000000}"/>
            </a:ext>
          </a:extLst>
        </xdr:cNvPr>
        <xdr:cNvSpPr>
          <a:spLocks noChangeShapeType="1"/>
        </xdr:cNvSpPr>
      </xdr:nvSpPr>
      <xdr:spPr bwMode="auto">
        <a:xfrm>
          <a:off x="467677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146" name="Line 148">
          <a:extLst>
            <a:ext uri="{FF2B5EF4-FFF2-40B4-BE49-F238E27FC236}">
              <a16:creationId xmlns:a16="http://schemas.microsoft.com/office/drawing/2014/main" id="{00000000-0008-0000-0100-000092000000}"/>
            </a:ext>
          </a:extLst>
        </xdr:cNvPr>
        <xdr:cNvSpPr>
          <a:spLocks noChangeShapeType="1"/>
        </xdr:cNvSpPr>
      </xdr:nvSpPr>
      <xdr:spPr bwMode="auto">
        <a:xfrm flipV="1">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42</xdr:row>
      <xdr:rowOff>0</xdr:rowOff>
    </xdr:from>
    <xdr:to>
      <xdr:col>11</xdr:col>
      <xdr:colOff>19050</xdr:colOff>
      <xdr:row>42</xdr:row>
      <xdr:rowOff>0</xdr:rowOff>
    </xdr:to>
    <xdr:sp macro="" textlink="">
      <xdr:nvSpPr>
        <xdr:cNvPr id="147" name="Line 149">
          <a:extLst>
            <a:ext uri="{FF2B5EF4-FFF2-40B4-BE49-F238E27FC236}">
              <a16:creationId xmlns:a16="http://schemas.microsoft.com/office/drawing/2014/main" id="{00000000-0008-0000-0100-000093000000}"/>
            </a:ext>
          </a:extLst>
        </xdr:cNvPr>
        <xdr:cNvSpPr>
          <a:spLocks noChangeShapeType="1"/>
        </xdr:cNvSpPr>
      </xdr:nvSpPr>
      <xdr:spPr bwMode="auto">
        <a:xfrm>
          <a:off x="469582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361950</xdr:colOff>
      <xdr:row>42</xdr:row>
      <xdr:rowOff>0</xdr:rowOff>
    </xdr:from>
    <xdr:to>
      <xdr:col>10</xdr:col>
      <xdr:colOff>238125</xdr:colOff>
      <xdr:row>42</xdr:row>
      <xdr:rowOff>0</xdr:rowOff>
    </xdr:to>
    <xdr:sp macro="" textlink="">
      <xdr:nvSpPr>
        <xdr:cNvPr id="148" name="Line 150">
          <a:extLst>
            <a:ext uri="{FF2B5EF4-FFF2-40B4-BE49-F238E27FC236}">
              <a16:creationId xmlns:a16="http://schemas.microsoft.com/office/drawing/2014/main" id="{00000000-0008-0000-0100-000094000000}"/>
            </a:ext>
          </a:extLst>
        </xdr:cNvPr>
        <xdr:cNvSpPr>
          <a:spLocks noChangeShapeType="1"/>
        </xdr:cNvSpPr>
      </xdr:nvSpPr>
      <xdr:spPr bwMode="auto">
        <a:xfrm>
          <a:off x="5038725" y="10477500"/>
          <a:ext cx="447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466725</xdr:colOff>
      <xdr:row>42</xdr:row>
      <xdr:rowOff>0</xdr:rowOff>
    </xdr:from>
    <xdr:to>
      <xdr:col>10</xdr:col>
      <xdr:colOff>114300</xdr:colOff>
      <xdr:row>42</xdr:row>
      <xdr:rowOff>0</xdr:rowOff>
    </xdr:to>
    <xdr:sp macro="" textlink="">
      <xdr:nvSpPr>
        <xdr:cNvPr id="149" name="Line 151">
          <a:extLst>
            <a:ext uri="{FF2B5EF4-FFF2-40B4-BE49-F238E27FC236}">
              <a16:creationId xmlns:a16="http://schemas.microsoft.com/office/drawing/2014/main" id="{00000000-0008-0000-0100-000095000000}"/>
            </a:ext>
          </a:extLst>
        </xdr:cNvPr>
        <xdr:cNvSpPr>
          <a:spLocks noChangeShapeType="1"/>
        </xdr:cNvSpPr>
      </xdr:nvSpPr>
      <xdr:spPr bwMode="auto">
        <a:xfrm>
          <a:off x="5143500" y="10477500"/>
          <a:ext cx="219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400050</xdr:colOff>
      <xdr:row>42</xdr:row>
      <xdr:rowOff>0</xdr:rowOff>
    </xdr:from>
    <xdr:to>
      <xdr:col>8</xdr:col>
      <xdr:colOff>552450</xdr:colOff>
      <xdr:row>42</xdr:row>
      <xdr:rowOff>0</xdr:rowOff>
    </xdr:to>
    <xdr:sp macro="" textlink="">
      <xdr:nvSpPr>
        <xdr:cNvPr id="150" name="Line 152">
          <a:extLst>
            <a:ext uri="{FF2B5EF4-FFF2-40B4-BE49-F238E27FC236}">
              <a16:creationId xmlns:a16="http://schemas.microsoft.com/office/drawing/2014/main" id="{00000000-0008-0000-0100-000096000000}"/>
            </a:ext>
          </a:extLst>
        </xdr:cNvPr>
        <xdr:cNvSpPr>
          <a:spLocks noChangeShapeType="1"/>
        </xdr:cNvSpPr>
      </xdr:nvSpPr>
      <xdr:spPr bwMode="auto">
        <a:xfrm flipH="1">
          <a:off x="4505325" y="10477500"/>
          <a:ext cx="152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142875</xdr:colOff>
      <xdr:row>42</xdr:row>
      <xdr:rowOff>0</xdr:rowOff>
    </xdr:to>
    <xdr:sp macro="" textlink="">
      <xdr:nvSpPr>
        <xdr:cNvPr id="151" name="Line 153">
          <a:extLst>
            <a:ext uri="{FF2B5EF4-FFF2-40B4-BE49-F238E27FC236}">
              <a16:creationId xmlns:a16="http://schemas.microsoft.com/office/drawing/2014/main" id="{00000000-0008-0000-0100-000097000000}"/>
            </a:ext>
          </a:extLst>
        </xdr:cNvPr>
        <xdr:cNvSpPr>
          <a:spLocks noChangeShapeType="1"/>
        </xdr:cNvSpPr>
      </xdr:nvSpPr>
      <xdr:spPr bwMode="auto">
        <a:xfrm>
          <a:off x="58864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142875</xdr:colOff>
      <xdr:row>42</xdr:row>
      <xdr:rowOff>0</xdr:rowOff>
    </xdr:from>
    <xdr:to>
      <xdr:col>11</xdr:col>
      <xdr:colOff>142875</xdr:colOff>
      <xdr:row>42</xdr:row>
      <xdr:rowOff>0</xdr:rowOff>
    </xdr:to>
    <xdr:sp macro="" textlink="">
      <xdr:nvSpPr>
        <xdr:cNvPr id="152" name="Line 154">
          <a:extLst>
            <a:ext uri="{FF2B5EF4-FFF2-40B4-BE49-F238E27FC236}">
              <a16:creationId xmlns:a16="http://schemas.microsoft.com/office/drawing/2014/main" id="{00000000-0008-0000-0100-000098000000}"/>
            </a:ext>
          </a:extLst>
        </xdr:cNvPr>
        <xdr:cNvSpPr>
          <a:spLocks noChangeShapeType="1"/>
        </xdr:cNvSpPr>
      </xdr:nvSpPr>
      <xdr:spPr bwMode="auto">
        <a:xfrm>
          <a:off x="602932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153" name="Line 155">
          <a:extLst>
            <a:ext uri="{FF2B5EF4-FFF2-40B4-BE49-F238E27FC236}">
              <a16:creationId xmlns:a16="http://schemas.microsoft.com/office/drawing/2014/main" id="{00000000-0008-0000-0100-00009900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154" name="Line 156">
          <a:extLst>
            <a:ext uri="{FF2B5EF4-FFF2-40B4-BE49-F238E27FC236}">
              <a16:creationId xmlns:a16="http://schemas.microsoft.com/office/drawing/2014/main" id="{00000000-0008-0000-0100-00009A00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155" name="Line 157">
          <a:extLst>
            <a:ext uri="{FF2B5EF4-FFF2-40B4-BE49-F238E27FC236}">
              <a16:creationId xmlns:a16="http://schemas.microsoft.com/office/drawing/2014/main" id="{00000000-0008-0000-0100-00009B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156" name="Line 158">
          <a:extLst>
            <a:ext uri="{FF2B5EF4-FFF2-40B4-BE49-F238E27FC236}">
              <a16:creationId xmlns:a16="http://schemas.microsoft.com/office/drawing/2014/main" id="{00000000-0008-0000-0100-00009C000000}"/>
            </a:ext>
          </a:extLst>
        </xdr:cNvPr>
        <xdr:cNvSpPr>
          <a:spLocks noChangeShapeType="1"/>
        </xdr:cNvSpPr>
      </xdr:nvSpPr>
      <xdr:spPr bwMode="auto">
        <a:xfrm>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495300</xdr:colOff>
      <xdr:row>42</xdr:row>
      <xdr:rowOff>0</xdr:rowOff>
    </xdr:from>
    <xdr:to>
      <xdr:col>11</xdr:col>
      <xdr:colOff>76200</xdr:colOff>
      <xdr:row>42</xdr:row>
      <xdr:rowOff>0</xdr:rowOff>
    </xdr:to>
    <xdr:sp macro="" textlink="">
      <xdr:nvSpPr>
        <xdr:cNvPr id="157" name="Line 159">
          <a:extLst>
            <a:ext uri="{FF2B5EF4-FFF2-40B4-BE49-F238E27FC236}">
              <a16:creationId xmlns:a16="http://schemas.microsoft.com/office/drawing/2014/main" id="{00000000-0008-0000-0100-00009D000000}"/>
            </a:ext>
          </a:extLst>
        </xdr:cNvPr>
        <xdr:cNvSpPr>
          <a:spLocks noChangeShapeType="1"/>
        </xdr:cNvSpPr>
      </xdr:nvSpPr>
      <xdr:spPr bwMode="auto">
        <a:xfrm>
          <a:off x="4600575" y="10477500"/>
          <a:ext cx="1362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158" name="Line 160">
          <a:extLst>
            <a:ext uri="{FF2B5EF4-FFF2-40B4-BE49-F238E27FC236}">
              <a16:creationId xmlns:a16="http://schemas.microsoft.com/office/drawing/2014/main" id="{00000000-0008-0000-0100-00009E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159" name="Line 161">
          <a:extLst>
            <a:ext uri="{FF2B5EF4-FFF2-40B4-BE49-F238E27FC236}">
              <a16:creationId xmlns:a16="http://schemas.microsoft.com/office/drawing/2014/main" id="{00000000-0008-0000-0100-00009F000000}"/>
            </a:ext>
          </a:extLst>
        </xdr:cNvPr>
        <xdr:cNvSpPr>
          <a:spLocks noChangeShapeType="1"/>
        </xdr:cNvSpPr>
      </xdr:nvSpPr>
      <xdr:spPr bwMode="auto">
        <a:xfrm flipV="1">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142875</xdr:colOff>
      <xdr:row>42</xdr:row>
      <xdr:rowOff>0</xdr:rowOff>
    </xdr:from>
    <xdr:to>
      <xdr:col>11</xdr:col>
      <xdr:colOff>142875</xdr:colOff>
      <xdr:row>42</xdr:row>
      <xdr:rowOff>0</xdr:rowOff>
    </xdr:to>
    <xdr:sp macro="" textlink="">
      <xdr:nvSpPr>
        <xdr:cNvPr id="160" name="Line 162">
          <a:extLst>
            <a:ext uri="{FF2B5EF4-FFF2-40B4-BE49-F238E27FC236}">
              <a16:creationId xmlns:a16="http://schemas.microsoft.com/office/drawing/2014/main" id="{00000000-0008-0000-0100-0000A0000000}"/>
            </a:ext>
          </a:extLst>
        </xdr:cNvPr>
        <xdr:cNvSpPr>
          <a:spLocks noChangeShapeType="1"/>
        </xdr:cNvSpPr>
      </xdr:nvSpPr>
      <xdr:spPr bwMode="auto">
        <a:xfrm>
          <a:off x="602932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161" name="Line 163">
          <a:extLst>
            <a:ext uri="{FF2B5EF4-FFF2-40B4-BE49-F238E27FC236}">
              <a16:creationId xmlns:a16="http://schemas.microsoft.com/office/drawing/2014/main" id="{00000000-0008-0000-0100-0000A1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162" name="Line 164">
          <a:extLst>
            <a:ext uri="{FF2B5EF4-FFF2-40B4-BE49-F238E27FC236}">
              <a16:creationId xmlns:a16="http://schemas.microsoft.com/office/drawing/2014/main" id="{00000000-0008-0000-0100-0000A2000000}"/>
            </a:ext>
          </a:extLst>
        </xdr:cNvPr>
        <xdr:cNvSpPr>
          <a:spLocks noChangeShapeType="1"/>
        </xdr:cNvSpPr>
      </xdr:nvSpPr>
      <xdr:spPr bwMode="auto">
        <a:xfrm>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266700</xdr:colOff>
      <xdr:row>42</xdr:row>
      <xdr:rowOff>0</xdr:rowOff>
    </xdr:from>
    <xdr:to>
      <xdr:col>10</xdr:col>
      <xdr:colOff>0</xdr:colOff>
      <xdr:row>42</xdr:row>
      <xdr:rowOff>0</xdr:rowOff>
    </xdr:to>
    <xdr:sp macro="" textlink="">
      <xdr:nvSpPr>
        <xdr:cNvPr id="163" name="Line 165">
          <a:extLst>
            <a:ext uri="{FF2B5EF4-FFF2-40B4-BE49-F238E27FC236}">
              <a16:creationId xmlns:a16="http://schemas.microsoft.com/office/drawing/2014/main" id="{00000000-0008-0000-0100-0000A3000000}"/>
            </a:ext>
          </a:extLst>
        </xdr:cNvPr>
        <xdr:cNvSpPr>
          <a:spLocks noChangeShapeType="1"/>
        </xdr:cNvSpPr>
      </xdr:nvSpPr>
      <xdr:spPr bwMode="auto">
        <a:xfrm>
          <a:off x="4943475" y="10477500"/>
          <a:ext cx="30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42</xdr:row>
      <xdr:rowOff>0</xdr:rowOff>
    </xdr:from>
    <xdr:to>
      <xdr:col>6</xdr:col>
      <xdr:colOff>266700</xdr:colOff>
      <xdr:row>42</xdr:row>
      <xdr:rowOff>0</xdr:rowOff>
    </xdr:to>
    <xdr:sp macro="" textlink="">
      <xdr:nvSpPr>
        <xdr:cNvPr id="164" name="Line 166">
          <a:extLst>
            <a:ext uri="{FF2B5EF4-FFF2-40B4-BE49-F238E27FC236}">
              <a16:creationId xmlns:a16="http://schemas.microsoft.com/office/drawing/2014/main" id="{00000000-0008-0000-0100-0000A4000000}"/>
            </a:ext>
          </a:extLst>
        </xdr:cNvPr>
        <xdr:cNvSpPr>
          <a:spLocks noChangeShapeType="1"/>
        </xdr:cNvSpPr>
      </xdr:nvSpPr>
      <xdr:spPr bwMode="auto">
        <a:xfrm>
          <a:off x="2028825" y="10477500"/>
          <a:ext cx="971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42</xdr:row>
      <xdr:rowOff>0</xdr:rowOff>
    </xdr:from>
    <xdr:to>
      <xdr:col>3</xdr:col>
      <xdr:colOff>704850</xdr:colOff>
      <xdr:row>42</xdr:row>
      <xdr:rowOff>0</xdr:rowOff>
    </xdr:to>
    <xdr:sp macro="" textlink="">
      <xdr:nvSpPr>
        <xdr:cNvPr id="165" name="Line 167">
          <a:extLst>
            <a:ext uri="{FF2B5EF4-FFF2-40B4-BE49-F238E27FC236}">
              <a16:creationId xmlns:a16="http://schemas.microsoft.com/office/drawing/2014/main" id="{00000000-0008-0000-0100-0000A5000000}"/>
            </a:ext>
          </a:extLst>
        </xdr:cNvPr>
        <xdr:cNvSpPr>
          <a:spLocks noChangeShapeType="1"/>
        </xdr:cNvSpPr>
      </xdr:nvSpPr>
      <xdr:spPr bwMode="auto">
        <a:xfrm>
          <a:off x="504825" y="10477500"/>
          <a:ext cx="704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166" name="Line 168">
          <a:extLst>
            <a:ext uri="{FF2B5EF4-FFF2-40B4-BE49-F238E27FC236}">
              <a16:creationId xmlns:a16="http://schemas.microsoft.com/office/drawing/2014/main" id="{00000000-0008-0000-0100-0000A6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11</xdr:col>
      <xdr:colOff>0</xdr:colOff>
      <xdr:row>42</xdr:row>
      <xdr:rowOff>0</xdr:rowOff>
    </xdr:to>
    <xdr:sp macro="" textlink="">
      <xdr:nvSpPr>
        <xdr:cNvPr id="167" name="Line 169">
          <a:extLst>
            <a:ext uri="{FF2B5EF4-FFF2-40B4-BE49-F238E27FC236}">
              <a16:creationId xmlns:a16="http://schemas.microsoft.com/office/drawing/2014/main" id="{00000000-0008-0000-0100-0000A7000000}"/>
            </a:ext>
          </a:extLst>
        </xdr:cNvPr>
        <xdr:cNvSpPr>
          <a:spLocks noChangeShapeType="1"/>
        </xdr:cNvSpPr>
      </xdr:nvSpPr>
      <xdr:spPr bwMode="auto">
        <a:xfrm>
          <a:off x="467677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168" name="Line 170">
          <a:extLst>
            <a:ext uri="{FF2B5EF4-FFF2-40B4-BE49-F238E27FC236}">
              <a16:creationId xmlns:a16="http://schemas.microsoft.com/office/drawing/2014/main" id="{00000000-0008-0000-0100-0000A8000000}"/>
            </a:ext>
          </a:extLst>
        </xdr:cNvPr>
        <xdr:cNvSpPr>
          <a:spLocks noChangeShapeType="1"/>
        </xdr:cNvSpPr>
      </xdr:nvSpPr>
      <xdr:spPr bwMode="auto">
        <a:xfrm flipV="1">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42</xdr:row>
      <xdr:rowOff>0</xdr:rowOff>
    </xdr:from>
    <xdr:to>
      <xdr:col>11</xdr:col>
      <xdr:colOff>19050</xdr:colOff>
      <xdr:row>42</xdr:row>
      <xdr:rowOff>0</xdr:rowOff>
    </xdr:to>
    <xdr:sp macro="" textlink="">
      <xdr:nvSpPr>
        <xdr:cNvPr id="169" name="Line 171">
          <a:extLst>
            <a:ext uri="{FF2B5EF4-FFF2-40B4-BE49-F238E27FC236}">
              <a16:creationId xmlns:a16="http://schemas.microsoft.com/office/drawing/2014/main" id="{00000000-0008-0000-0100-0000A9000000}"/>
            </a:ext>
          </a:extLst>
        </xdr:cNvPr>
        <xdr:cNvSpPr>
          <a:spLocks noChangeShapeType="1"/>
        </xdr:cNvSpPr>
      </xdr:nvSpPr>
      <xdr:spPr bwMode="auto">
        <a:xfrm>
          <a:off x="469582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361950</xdr:colOff>
      <xdr:row>42</xdr:row>
      <xdr:rowOff>0</xdr:rowOff>
    </xdr:from>
    <xdr:to>
      <xdr:col>10</xdr:col>
      <xdr:colOff>238125</xdr:colOff>
      <xdr:row>42</xdr:row>
      <xdr:rowOff>0</xdr:rowOff>
    </xdr:to>
    <xdr:sp macro="" textlink="">
      <xdr:nvSpPr>
        <xdr:cNvPr id="170" name="Line 172">
          <a:extLst>
            <a:ext uri="{FF2B5EF4-FFF2-40B4-BE49-F238E27FC236}">
              <a16:creationId xmlns:a16="http://schemas.microsoft.com/office/drawing/2014/main" id="{00000000-0008-0000-0100-0000AA000000}"/>
            </a:ext>
          </a:extLst>
        </xdr:cNvPr>
        <xdr:cNvSpPr>
          <a:spLocks noChangeShapeType="1"/>
        </xdr:cNvSpPr>
      </xdr:nvSpPr>
      <xdr:spPr bwMode="auto">
        <a:xfrm>
          <a:off x="5038725" y="10477500"/>
          <a:ext cx="447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466725</xdr:colOff>
      <xdr:row>42</xdr:row>
      <xdr:rowOff>0</xdr:rowOff>
    </xdr:from>
    <xdr:to>
      <xdr:col>10</xdr:col>
      <xdr:colOff>114300</xdr:colOff>
      <xdr:row>42</xdr:row>
      <xdr:rowOff>0</xdr:rowOff>
    </xdr:to>
    <xdr:sp macro="" textlink="">
      <xdr:nvSpPr>
        <xdr:cNvPr id="171" name="Line 173">
          <a:extLst>
            <a:ext uri="{FF2B5EF4-FFF2-40B4-BE49-F238E27FC236}">
              <a16:creationId xmlns:a16="http://schemas.microsoft.com/office/drawing/2014/main" id="{00000000-0008-0000-0100-0000AB000000}"/>
            </a:ext>
          </a:extLst>
        </xdr:cNvPr>
        <xdr:cNvSpPr>
          <a:spLocks noChangeShapeType="1"/>
        </xdr:cNvSpPr>
      </xdr:nvSpPr>
      <xdr:spPr bwMode="auto">
        <a:xfrm>
          <a:off x="5143500" y="10477500"/>
          <a:ext cx="219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400050</xdr:colOff>
      <xdr:row>42</xdr:row>
      <xdr:rowOff>0</xdr:rowOff>
    </xdr:from>
    <xdr:to>
      <xdr:col>8</xdr:col>
      <xdr:colOff>552450</xdr:colOff>
      <xdr:row>42</xdr:row>
      <xdr:rowOff>0</xdr:rowOff>
    </xdr:to>
    <xdr:sp macro="" textlink="">
      <xdr:nvSpPr>
        <xdr:cNvPr id="172" name="Line 174">
          <a:extLst>
            <a:ext uri="{FF2B5EF4-FFF2-40B4-BE49-F238E27FC236}">
              <a16:creationId xmlns:a16="http://schemas.microsoft.com/office/drawing/2014/main" id="{00000000-0008-0000-0100-0000AC000000}"/>
            </a:ext>
          </a:extLst>
        </xdr:cNvPr>
        <xdr:cNvSpPr>
          <a:spLocks noChangeShapeType="1"/>
        </xdr:cNvSpPr>
      </xdr:nvSpPr>
      <xdr:spPr bwMode="auto">
        <a:xfrm flipH="1">
          <a:off x="4505325" y="10477500"/>
          <a:ext cx="152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142875</xdr:colOff>
      <xdr:row>42</xdr:row>
      <xdr:rowOff>0</xdr:rowOff>
    </xdr:to>
    <xdr:sp macro="" textlink="">
      <xdr:nvSpPr>
        <xdr:cNvPr id="173" name="Line 175">
          <a:extLst>
            <a:ext uri="{FF2B5EF4-FFF2-40B4-BE49-F238E27FC236}">
              <a16:creationId xmlns:a16="http://schemas.microsoft.com/office/drawing/2014/main" id="{00000000-0008-0000-0100-0000AD000000}"/>
            </a:ext>
          </a:extLst>
        </xdr:cNvPr>
        <xdr:cNvSpPr>
          <a:spLocks noChangeShapeType="1"/>
        </xdr:cNvSpPr>
      </xdr:nvSpPr>
      <xdr:spPr bwMode="auto">
        <a:xfrm>
          <a:off x="58864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142875</xdr:colOff>
      <xdr:row>42</xdr:row>
      <xdr:rowOff>0</xdr:rowOff>
    </xdr:from>
    <xdr:to>
      <xdr:col>11</xdr:col>
      <xdr:colOff>142875</xdr:colOff>
      <xdr:row>42</xdr:row>
      <xdr:rowOff>0</xdr:rowOff>
    </xdr:to>
    <xdr:sp macro="" textlink="">
      <xdr:nvSpPr>
        <xdr:cNvPr id="174" name="Line 176">
          <a:extLst>
            <a:ext uri="{FF2B5EF4-FFF2-40B4-BE49-F238E27FC236}">
              <a16:creationId xmlns:a16="http://schemas.microsoft.com/office/drawing/2014/main" id="{00000000-0008-0000-0100-0000AE000000}"/>
            </a:ext>
          </a:extLst>
        </xdr:cNvPr>
        <xdr:cNvSpPr>
          <a:spLocks noChangeShapeType="1"/>
        </xdr:cNvSpPr>
      </xdr:nvSpPr>
      <xdr:spPr bwMode="auto">
        <a:xfrm>
          <a:off x="602932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175" name="Line 177">
          <a:extLst>
            <a:ext uri="{FF2B5EF4-FFF2-40B4-BE49-F238E27FC236}">
              <a16:creationId xmlns:a16="http://schemas.microsoft.com/office/drawing/2014/main" id="{00000000-0008-0000-0100-0000AF00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176" name="Line 178">
          <a:extLst>
            <a:ext uri="{FF2B5EF4-FFF2-40B4-BE49-F238E27FC236}">
              <a16:creationId xmlns:a16="http://schemas.microsoft.com/office/drawing/2014/main" id="{00000000-0008-0000-0100-0000B000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177" name="Line 179">
          <a:extLst>
            <a:ext uri="{FF2B5EF4-FFF2-40B4-BE49-F238E27FC236}">
              <a16:creationId xmlns:a16="http://schemas.microsoft.com/office/drawing/2014/main" id="{00000000-0008-0000-0100-0000B1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178" name="Line 180">
          <a:extLst>
            <a:ext uri="{FF2B5EF4-FFF2-40B4-BE49-F238E27FC236}">
              <a16:creationId xmlns:a16="http://schemas.microsoft.com/office/drawing/2014/main" id="{00000000-0008-0000-0100-0000B2000000}"/>
            </a:ext>
          </a:extLst>
        </xdr:cNvPr>
        <xdr:cNvSpPr>
          <a:spLocks noChangeShapeType="1"/>
        </xdr:cNvSpPr>
      </xdr:nvSpPr>
      <xdr:spPr bwMode="auto">
        <a:xfrm>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495300</xdr:colOff>
      <xdr:row>42</xdr:row>
      <xdr:rowOff>0</xdr:rowOff>
    </xdr:from>
    <xdr:to>
      <xdr:col>11</xdr:col>
      <xdr:colOff>76200</xdr:colOff>
      <xdr:row>42</xdr:row>
      <xdr:rowOff>0</xdr:rowOff>
    </xdr:to>
    <xdr:sp macro="" textlink="">
      <xdr:nvSpPr>
        <xdr:cNvPr id="179" name="Line 181">
          <a:extLst>
            <a:ext uri="{FF2B5EF4-FFF2-40B4-BE49-F238E27FC236}">
              <a16:creationId xmlns:a16="http://schemas.microsoft.com/office/drawing/2014/main" id="{00000000-0008-0000-0100-0000B3000000}"/>
            </a:ext>
          </a:extLst>
        </xdr:cNvPr>
        <xdr:cNvSpPr>
          <a:spLocks noChangeShapeType="1"/>
        </xdr:cNvSpPr>
      </xdr:nvSpPr>
      <xdr:spPr bwMode="auto">
        <a:xfrm>
          <a:off x="4600575" y="10477500"/>
          <a:ext cx="1362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438150</xdr:colOff>
      <xdr:row>42</xdr:row>
      <xdr:rowOff>0</xdr:rowOff>
    </xdr:from>
    <xdr:to>
      <xdr:col>11</xdr:col>
      <xdr:colOff>0</xdr:colOff>
      <xdr:row>42</xdr:row>
      <xdr:rowOff>0</xdr:rowOff>
    </xdr:to>
    <xdr:sp macro="" textlink="">
      <xdr:nvSpPr>
        <xdr:cNvPr id="180" name="Line 182">
          <a:extLst>
            <a:ext uri="{FF2B5EF4-FFF2-40B4-BE49-F238E27FC236}">
              <a16:creationId xmlns:a16="http://schemas.microsoft.com/office/drawing/2014/main" id="{00000000-0008-0000-0100-0000B4000000}"/>
            </a:ext>
          </a:extLst>
        </xdr:cNvPr>
        <xdr:cNvSpPr>
          <a:spLocks noChangeShapeType="1"/>
        </xdr:cNvSpPr>
      </xdr:nvSpPr>
      <xdr:spPr bwMode="auto">
        <a:xfrm>
          <a:off x="5686425" y="10477500"/>
          <a:ext cx="200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81" name="Oval 183">
          <a:extLst>
            <a:ext uri="{FF2B5EF4-FFF2-40B4-BE49-F238E27FC236}">
              <a16:creationId xmlns:a16="http://schemas.microsoft.com/office/drawing/2014/main" id="{00000000-0008-0000-0100-0000B5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82" name="Oval 184">
          <a:extLst>
            <a:ext uri="{FF2B5EF4-FFF2-40B4-BE49-F238E27FC236}">
              <a16:creationId xmlns:a16="http://schemas.microsoft.com/office/drawing/2014/main" id="{00000000-0008-0000-0100-0000B6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83" name="Oval 185">
          <a:extLst>
            <a:ext uri="{FF2B5EF4-FFF2-40B4-BE49-F238E27FC236}">
              <a16:creationId xmlns:a16="http://schemas.microsoft.com/office/drawing/2014/main" id="{00000000-0008-0000-0100-0000B7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42</xdr:row>
      <xdr:rowOff>0</xdr:rowOff>
    </xdr:from>
    <xdr:to>
      <xdr:col>6</xdr:col>
      <xdr:colOff>266700</xdr:colOff>
      <xdr:row>42</xdr:row>
      <xdr:rowOff>0</xdr:rowOff>
    </xdr:to>
    <xdr:sp macro="" textlink="">
      <xdr:nvSpPr>
        <xdr:cNvPr id="184" name="Line 186">
          <a:extLst>
            <a:ext uri="{FF2B5EF4-FFF2-40B4-BE49-F238E27FC236}">
              <a16:creationId xmlns:a16="http://schemas.microsoft.com/office/drawing/2014/main" id="{00000000-0008-0000-0100-0000B8000000}"/>
            </a:ext>
          </a:extLst>
        </xdr:cNvPr>
        <xdr:cNvSpPr>
          <a:spLocks noChangeShapeType="1"/>
        </xdr:cNvSpPr>
      </xdr:nvSpPr>
      <xdr:spPr bwMode="auto">
        <a:xfrm>
          <a:off x="2028825" y="10477500"/>
          <a:ext cx="971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42</xdr:row>
      <xdr:rowOff>0</xdr:rowOff>
    </xdr:from>
    <xdr:to>
      <xdr:col>3</xdr:col>
      <xdr:colOff>704850</xdr:colOff>
      <xdr:row>42</xdr:row>
      <xdr:rowOff>0</xdr:rowOff>
    </xdr:to>
    <xdr:sp macro="" textlink="">
      <xdr:nvSpPr>
        <xdr:cNvPr id="185" name="Line 187">
          <a:extLst>
            <a:ext uri="{FF2B5EF4-FFF2-40B4-BE49-F238E27FC236}">
              <a16:creationId xmlns:a16="http://schemas.microsoft.com/office/drawing/2014/main" id="{00000000-0008-0000-0100-0000B9000000}"/>
            </a:ext>
          </a:extLst>
        </xdr:cNvPr>
        <xdr:cNvSpPr>
          <a:spLocks noChangeShapeType="1"/>
        </xdr:cNvSpPr>
      </xdr:nvSpPr>
      <xdr:spPr bwMode="auto">
        <a:xfrm>
          <a:off x="504825" y="10477500"/>
          <a:ext cx="704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186" name="Line 188">
          <a:extLst>
            <a:ext uri="{FF2B5EF4-FFF2-40B4-BE49-F238E27FC236}">
              <a16:creationId xmlns:a16="http://schemas.microsoft.com/office/drawing/2014/main" id="{00000000-0008-0000-0100-0000BA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11</xdr:col>
      <xdr:colOff>0</xdr:colOff>
      <xdr:row>42</xdr:row>
      <xdr:rowOff>0</xdr:rowOff>
    </xdr:to>
    <xdr:sp macro="" textlink="">
      <xdr:nvSpPr>
        <xdr:cNvPr id="187" name="Line 189">
          <a:extLst>
            <a:ext uri="{FF2B5EF4-FFF2-40B4-BE49-F238E27FC236}">
              <a16:creationId xmlns:a16="http://schemas.microsoft.com/office/drawing/2014/main" id="{00000000-0008-0000-0100-0000BB000000}"/>
            </a:ext>
          </a:extLst>
        </xdr:cNvPr>
        <xdr:cNvSpPr>
          <a:spLocks noChangeShapeType="1"/>
        </xdr:cNvSpPr>
      </xdr:nvSpPr>
      <xdr:spPr bwMode="auto">
        <a:xfrm>
          <a:off x="467677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188" name="Line 190">
          <a:extLst>
            <a:ext uri="{FF2B5EF4-FFF2-40B4-BE49-F238E27FC236}">
              <a16:creationId xmlns:a16="http://schemas.microsoft.com/office/drawing/2014/main" id="{00000000-0008-0000-0100-0000BC000000}"/>
            </a:ext>
          </a:extLst>
        </xdr:cNvPr>
        <xdr:cNvSpPr>
          <a:spLocks noChangeShapeType="1"/>
        </xdr:cNvSpPr>
      </xdr:nvSpPr>
      <xdr:spPr bwMode="auto">
        <a:xfrm flipV="1">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42</xdr:row>
      <xdr:rowOff>0</xdr:rowOff>
    </xdr:from>
    <xdr:to>
      <xdr:col>11</xdr:col>
      <xdr:colOff>19050</xdr:colOff>
      <xdr:row>42</xdr:row>
      <xdr:rowOff>0</xdr:rowOff>
    </xdr:to>
    <xdr:sp macro="" textlink="">
      <xdr:nvSpPr>
        <xdr:cNvPr id="189" name="Line 191">
          <a:extLst>
            <a:ext uri="{FF2B5EF4-FFF2-40B4-BE49-F238E27FC236}">
              <a16:creationId xmlns:a16="http://schemas.microsoft.com/office/drawing/2014/main" id="{00000000-0008-0000-0100-0000BD000000}"/>
            </a:ext>
          </a:extLst>
        </xdr:cNvPr>
        <xdr:cNvSpPr>
          <a:spLocks noChangeShapeType="1"/>
        </xdr:cNvSpPr>
      </xdr:nvSpPr>
      <xdr:spPr bwMode="auto">
        <a:xfrm>
          <a:off x="469582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361950</xdr:colOff>
      <xdr:row>42</xdr:row>
      <xdr:rowOff>0</xdr:rowOff>
    </xdr:from>
    <xdr:to>
      <xdr:col>10</xdr:col>
      <xdr:colOff>238125</xdr:colOff>
      <xdr:row>42</xdr:row>
      <xdr:rowOff>0</xdr:rowOff>
    </xdr:to>
    <xdr:sp macro="" textlink="">
      <xdr:nvSpPr>
        <xdr:cNvPr id="190" name="Line 192">
          <a:extLst>
            <a:ext uri="{FF2B5EF4-FFF2-40B4-BE49-F238E27FC236}">
              <a16:creationId xmlns:a16="http://schemas.microsoft.com/office/drawing/2014/main" id="{00000000-0008-0000-0100-0000BE000000}"/>
            </a:ext>
          </a:extLst>
        </xdr:cNvPr>
        <xdr:cNvSpPr>
          <a:spLocks noChangeShapeType="1"/>
        </xdr:cNvSpPr>
      </xdr:nvSpPr>
      <xdr:spPr bwMode="auto">
        <a:xfrm>
          <a:off x="5038725" y="10477500"/>
          <a:ext cx="447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466725</xdr:colOff>
      <xdr:row>42</xdr:row>
      <xdr:rowOff>0</xdr:rowOff>
    </xdr:from>
    <xdr:to>
      <xdr:col>10</xdr:col>
      <xdr:colOff>114300</xdr:colOff>
      <xdr:row>42</xdr:row>
      <xdr:rowOff>0</xdr:rowOff>
    </xdr:to>
    <xdr:sp macro="" textlink="">
      <xdr:nvSpPr>
        <xdr:cNvPr id="191" name="Line 193">
          <a:extLst>
            <a:ext uri="{FF2B5EF4-FFF2-40B4-BE49-F238E27FC236}">
              <a16:creationId xmlns:a16="http://schemas.microsoft.com/office/drawing/2014/main" id="{00000000-0008-0000-0100-0000BF000000}"/>
            </a:ext>
          </a:extLst>
        </xdr:cNvPr>
        <xdr:cNvSpPr>
          <a:spLocks noChangeShapeType="1"/>
        </xdr:cNvSpPr>
      </xdr:nvSpPr>
      <xdr:spPr bwMode="auto">
        <a:xfrm>
          <a:off x="5143500" y="10477500"/>
          <a:ext cx="219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400050</xdr:colOff>
      <xdr:row>42</xdr:row>
      <xdr:rowOff>0</xdr:rowOff>
    </xdr:from>
    <xdr:to>
      <xdr:col>8</xdr:col>
      <xdr:colOff>552450</xdr:colOff>
      <xdr:row>42</xdr:row>
      <xdr:rowOff>0</xdr:rowOff>
    </xdr:to>
    <xdr:sp macro="" textlink="">
      <xdr:nvSpPr>
        <xdr:cNvPr id="192" name="Line 194">
          <a:extLst>
            <a:ext uri="{FF2B5EF4-FFF2-40B4-BE49-F238E27FC236}">
              <a16:creationId xmlns:a16="http://schemas.microsoft.com/office/drawing/2014/main" id="{00000000-0008-0000-0100-0000C0000000}"/>
            </a:ext>
          </a:extLst>
        </xdr:cNvPr>
        <xdr:cNvSpPr>
          <a:spLocks noChangeShapeType="1"/>
        </xdr:cNvSpPr>
      </xdr:nvSpPr>
      <xdr:spPr bwMode="auto">
        <a:xfrm flipH="1">
          <a:off x="4505325" y="10477500"/>
          <a:ext cx="152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142875</xdr:colOff>
      <xdr:row>42</xdr:row>
      <xdr:rowOff>0</xdr:rowOff>
    </xdr:to>
    <xdr:sp macro="" textlink="">
      <xdr:nvSpPr>
        <xdr:cNvPr id="193" name="Line 195">
          <a:extLst>
            <a:ext uri="{FF2B5EF4-FFF2-40B4-BE49-F238E27FC236}">
              <a16:creationId xmlns:a16="http://schemas.microsoft.com/office/drawing/2014/main" id="{00000000-0008-0000-0100-0000C1000000}"/>
            </a:ext>
          </a:extLst>
        </xdr:cNvPr>
        <xdr:cNvSpPr>
          <a:spLocks noChangeShapeType="1"/>
        </xdr:cNvSpPr>
      </xdr:nvSpPr>
      <xdr:spPr bwMode="auto">
        <a:xfrm>
          <a:off x="58864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142875</xdr:colOff>
      <xdr:row>42</xdr:row>
      <xdr:rowOff>0</xdr:rowOff>
    </xdr:from>
    <xdr:to>
      <xdr:col>11</xdr:col>
      <xdr:colOff>142875</xdr:colOff>
      <xdr:row>42</xdr:row>
      <xdr:rowOff>0</xdr:rowOff>
    </xdr:to>
    <xdr:sp macro="" textlink="">
      <xdr:nvSpPr>
        <xdr:cNvPr id="194" name="Line 196">
          <a:extLst>
            <a:ext uri="{FF2B5EF4-FFF2-40B4-BE49-F238E27FC236}">
              <a16:creationId xmlns:a16="http://schemas.microsoft.com/office/drawing/2014/main" id="{00000000-0008-0000-0100-0000C2000000}"/>
            </a:ext>
          </a:extLst>
        </xdr:cNvPr>
        <xdr:cNvSpPr>
          <a:spLocks noChangeShapeType="1"/>
        </xdr:cNvSpPr>
      </xdr:nvSpPr>
      <xdr:spPr bwMode="auto">
        <a:xfrm>
          <a:off x="602932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195" name="Line 197">
          <a:extLst>
            <a:ext uri="{FF2B5EF4-FFF2-40B4-BE49-F238E27FC236}">
              <a16:creationId xmlns:a16="http://schemas.microsoft.com/office/drawing/2014/main" id="{00000000-0008-0000-0100-0000C300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196" name="Line 198">
          <a:extLst>
            <a:ext uri="{FF2B5EF4-FFF2-40B4-BE49-F238E27FC236}">
              <a16:creationId xmlns:a16="http://schemas.microsoft.com/office/drawing/2014/main" id="{00000000-0008-0000-0100-0000C400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197" name="Line 199">
          <a:extLst>
            <a:ext uri="{FF2B5EF4-FFF2-40B4-BE49-F238E27FC236}">
              <a16:creationId xmlns:a16="http://schemas.microsoft.com/office/drawing/2014/main" id="{00000000-0008-0000-0100-0000C5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198" name="Line 200">
          <a:extLst>
            <a:ext uri="{FF2B5EF4-FFF2-40B4-BE49-F238E27FC236}">
              <a16:creationId xmlns:a16="http://schemas.microsoft.com/office/drawing/2014/main" id="{00000000-0008-0000-0100-0000C6000000}"/>
            </a:ext>
          </a:extLst>
        </xdr:cNvPr>
        <xdr:cNvSpPr>
          <a:spLocks noChangeShapeType="1"/>
        </xdr:cNvSpPr>
      </xdr:nvSpPr>
      <xdr:spPr bwMode="auto">
        <a:xfrm>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495300</xdr:colOff>
      <xdr:row>42</xdr:row>
      <xdr:rowOff>0</xdr:rowOff>
    </xdr:from>
    <xdr:to>
      <xdr:col>11</xdr:col>
      <xdr:colOff>76200</xdr:colOff>
      <xdr:row>42</xdr:row>
      <xdr:rowOff>0</xdr:rowOff>
    </xdr:to>
    <xdr:sp macro="" textlink="">
      <xdr:nvSpPr>
        <xdr:cNvPr id="199" name="Line 201">
          <a:extLst>
            <a:ext uri="{FF2B5EF4-FFF2-40B4-BE49-F238E27FC236}">
              <a16:creationId xmlns:a16="http://schemas.microsoft.com/office/drawing/2014/main" id="{00000000-0008-0000-0100-0000C7000000}"/>
            </a:ext>
          </a:extLst>
        </xdr:cNvPr>
        <xdr:cNvSpPr>
          <a:spLocks noChangeShapeType="1"/>
        </xdr:cNvSpPr>
      </xdr:nvSpPr>
      <xdr:spPr bwMode="auto">
        <a:xfrm>
          <a:off x="4600575" y="10477500"/>
          <a:ext cx="1362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200" name="Line 202">
          <a:extLst>
            <a:ext uri="{FF2B5EF4-FFF2-40B4-BE49-F238E27FC236}">
              <a16:creationId xmlns:a16="http://schemas.microsoft.com/office/drawing/2014/main" id="{00000000-0008-0000-0100-0000C8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201" name="Line 203">
          <a:extLst>
            <a:ext uri="{FF2B5EF4-FFF2-40B4-BE49-F238E27FC236}">
              <a16:creationId xmlns:a16="http://schemas.microsoft.com/office/drawing/2014/main" id="{00000000-0008-0000-0100-0000C9000000}"/>
            </a:ext>
          </a:extLst>
        </xdr:cNvPr>
        <xdr:cNvSpPr>
          <a:spLocks noChangeShapeType="1"/>
        </xdr:cNvSpPr>
      </xdr:nvSpPr>
      <xdr:spPr bwMode="auto">
        <a:xfrm flipV="1">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142875</xdr:colOff>
      <xdr:row>42</xdr:row>
      <xdr:rowOff>0</xdr:rowOff>
    </xdr:from>
    <xdr:to>
      <xdr:col>11</xdr:col>
      <xdr:colOff>142875</xdr:colOff>
      <xdr:row>42</xdr:row>
      <xdr:rowOff>0</xdr:rowOff>
    </xdr:to>
    <xdr:sp macro="" textlink="">
      <xdr:nvSpPr>
        <xdr:cNvPr id="202" name="Line 204">
          <a:extLst>
            <a:ext uri="{FF2B5EF4-FFF2-40B4-BE49-F238E27FC236}">
              <a16:creationId xmlns:a16="http://schemas.microsoft.com/office/drawing/2014/main" id="{00000000-0008-0000-0100-0000CA000000}"/>
            </a:ext>
          </a:extLst>
        </xdr:cNvPr>
        <xdr:cNvSpPr>
          <a:spLocks noChangeShapeType="1"/>
        </xdr:cNvSpPr>
      </xdr:nvSpPr>
      <xdr:spPr bwMode="auto">
        <a:xfrm>
          <a:off x="602932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203" name="Line 205">
          <a:extLst>
            <a:ext uri="{FF2B5EF4-FFF2-40B4-BE49-F238E27FC236}">
              <a16:creationId xmlns:a16="http://schemas.microsoft.com/office/drawing/2014/main" id="{00000000-0008-0000-0100-0000CB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204" name="Line 206">
          <a:extLst>
            <a:ext uri="{FF2B5EF4-FFF2-40B4-BE49-F238E27FC236}">
              <a16:creationId xmlns:a16="http://schemas.microsoft.com/office/drawing/2014/main" id="{00000000-0008-0000-0100-0000CC000000}"/>
            </a:ext>
          </a:extLst>
        </xdr:cNvPr>
        <xdr:cNvSpPr>
          <a:spLocks noChangeShapeType="1"/>
        </xdr:cNvSpPr>
      </xdr:nvSpPr>
      <xdr:spPr bwMode="auto">
        <a:xfrm>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266700</xdr:colOff>
      <xdr:row>42</xdr:row>
      <xdr:rowOff>0</xdr:rowOff>
    </xdr:from>
    <xdr:to>
      <xdr:col>10</xdr:col>
      <xdr:colOff>0</xdr:colOff>
      <xdr:row>42</xdr:row>
      <xdr:rowOff>0</xdr:rowOff>
    </xdr:to>
    <xdr:sp macro="" textlink="">
      <xdr:nvSpPr>
        <xdr:cNvPr id="205" name="Line 207">
          <a:extLst>
            <a:ext uri="{FF2B5EF4-FFF2-40B4-BE49-F238E27FC236}">
              <a16:creationId xmlns:a16="http://schemas.microsoft.com/office/drawing/2014/main" id="{00000000-0008-0000-0100-0000CD000000}"/>
            </a:ext>
          </a:extLst>
        </xdr:cNvPr>
        <xdr:cNvSpPr>
          <a:spLocks noChangeShapeType="1"/>
        </xdr:cNvSpPr>
      </xdr:nvSpPr>
      <xdr:spPr bwMode="auto">
        <a:xfrm>
          <a:off x="4943475" y="10477500"/>
          <a:ext cx="30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42</xdr:row>
      <xdr:rowOff>0</xdr:rowOff>
    </xdr:from>
    <xdr:to>
      <xdr:col>6</xdr:col>
      <xdr:colOff>266700</xdr:colOff>
      <xdr:row>42</xdr:row>
      <xdr:rowOff>0</xdr:rowOff>
    </xdr:to>
    <xdr:sp macro="" textlink="">
      <xdr:nvSpPr>
        <xdr:cNvPr id="206" name="Line 208">
          <a:extLst>
            <a:ext uri="{FF2B5EF4-FFF2-40B4-BE49-F238E27FC236}">
              <a16:creationId xmlns:a16="http://schemas.microsoft.com/office/drawing/2014/main" id="{00000000-0008-0000-0100-0000CE000000}"/>
            </a:ext>
          </a:extLst>
        </xdr:cNvPr>
        <xdr:cNvSpPr>
          <a:spLocks noChangeShapeType="1"/>
        </xdr:cNvSpPr>
      </xdr:nvSpPr>
      <xdr:spPr bwMode="auto">
        <a:xfrm>
          <a:off x="2028825" y="10477500"/>
          <a:ext cx="971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42</xdr:row>
      <xdr:rowOff>0</xdr:rowOff>
    </xdr:from>
    <xdr:to>
      <xdr:col>3</xdr:col>
      <xdr:colOff>704850</xdr:colOff>
      <xdr:row>42</xdr:row>
      <xdr:rowOff>0</xdr:rowOff>
    </xdr:to>
    <xdr:sp macro="" textlink="">
      <xdr:nvSpPr>
        <xdr:cNvPr id="207" name="Line 209">
          <a:extLst>
            <a:ext uri="{FF2B5EF4-FFF2-40B4-BE49-F238E27FC236}">
              <a16:creationId xmlns:a16="http://schemas.microsoft.com/office/drawing/2014/main" id="{00000000-0008-0000-0100-0000CF000000}"/>
            </a:ext>
          </a:extLst>
        </xdr:cNvPr>
        <xdr:cNvSpPr>
          <a:spLocks noChangeShapeType="1"/>
        </xdr:cNvSpPr>
      </xdr:nvSpPr>
      <xdr:spPr bwMode="auto">
        <a:xfrm>
          <a:off x="504825" y="10477500"/>
          <a:ext cx="704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208" name="Line 210">
          <a:extLst>
            <a:ext uri="{FF2B5EF4-FFF2-40B4-BE49-F238E27FC236}">
              <a16:creationId xmlns:a16="http://schemas.microsoft.com/office/drawing/2014/main" id="{00000000-0008-0000-0100-0000D0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11</xdr:col>
      <xdr:colOff>0</xdr:colOff>
      <xdr:row>42</xdr:row>
      <xdr:rowOff>0</xdr:rowOff>
    </xdr:to>
    <xdr:sp macro="" textlink="">
      <xdr:nvSpPr>
        <xdr:cNvPr id="209" name="Line 211">
          <a:extLst>
            <a:ext uri="{FF2B5EF4-FFF2-40B4-BE49-F238E27FC236}">
              <a16:creationId xmlns:a16="http://schemas.microsoft.com/office/drawing/2014/main" id="{00000000-0008-0000-0100-0000D1000000}"/>
            </a:ext>
          </a:extLst>
        </xdr:cNvPr>
        <xdr:cNvSpPr>
          <a:spLocks noChangeShapeType="1"/>
        </xdr:cNvSpPr>
      </xdr:nvSpPr>
      <xdr:spPr bwMode="auto">
        <a:xfrm>
          <a:off x="467677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210" name="Line 212">
          <a:extLst>
            <a:ext uri="{FF2B5EF4-FFF2-40B4-BE49-F238E27FC236}">
              <a16:creationId xmlns:a16="http://schemas.microsoft.com/office/drawing/2014/main" id="{00000000-0008-0000-0100-0000D2000000}"/>
            </a:ext>
          </a:extLst>
        </xdr:cNvPr>
        <xdr:cNvSpPr>
          <a:spLocks noChangeShapeType="1"/>
        </xdr:cNvSpPr>
      </xdr:nvSpPr>
      <xdr:spPr bwMode="auto">
        <a:xfrm flipV="1">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42</xdr:row>
      <xdr:rowOff>0</xdr:rowOff>
    </xdr:from>
    <xdr:to>
      <xdr:col>11</xdr:col>
      <xdr:colOff>19050</xdr:colOff>
      <xdr:row>42</xdr:row>
      <xdr:rowOff>0</xdr:rowOff>
    </xdr:to>
    <xdr:sp macro="" textlink="">
      <xdr:nvSpPr>
        <xdr:cNvPr id="211" name="Line 213">
          <a:extLst>
            <a:ext uri="{FF2B5EF4-FFF2-40B4-BE49-F238E27FC236}">
              <a16:creationId xmlns:a16="http://schemas.microsoft.com/office/drawing/2014/main" id="{00000000-0008-0000-0100-0000D3000000}"/>
            </a:ext>
          </a:extLst>
        </xdr:cNvPr>
        <xdr:cNvSpPr>
          <a:spLocks noChangeShapeType="1"/>
        </xdr:cNvSpPr>
      </xdr:nvSpPr>
      <xdr:spPr bwMode="auto">
        <a:xfrm>
          <a:off x="469582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361950</xdr:colOff>
      <xdr:row>42</xdr:row>
      <xdr:rowOff>0</xdr:rowOff>
    </xdr:from>
    <xdr:to>
      <xdr:col>10</xdr:col>
      <xdr:colOff>238125</xdr:colOff>
      <xdr:row>42</xdr:row>
      <xdr:rowOff>0</xdr:rowOff>
    </xdr:to>
    <xdr:sp macro="" textlink="">
      <xdr:nvSpPr>
        <xdr:cNvPr id="212" name="Line 214">
          <a:extLst>
            <a:ext uri="{FF2B5EF4-FFF2-40B4-BE49-F238E27FC236}">
              <a16:creationId xmlns:a16="http://schemas.microsoft.com/office/drawing/2014/main" id="{00000000-0008-0000-0100-0000D4000000}"/>
            </a:ext>
          </a:extLst>
        </xdr:cNvPr>
        <xdr:cNvSpPr>
          <a:spLocks noChangeShapeType="1"/>
        </xdr:cNvSpPr>
      </xdr:nvSpPr>
      <xdr:spPr bwMode="auto">
        <a:xfrm>
          <a:off x="5038725" y="10477500"/>
          <a:ext cx="447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466725</xdr:colOff>
      <xdr:row>42</xdr:row>
      <xdr:rowOff>0</xdr:rowOff>
    </xdr:from>
    <xdr:to>
      <xdr:col>10</xdr:col>
      <xdr:colOff>114300</xdr:colOff>
      <xdr:row>42</xdr:row>
      <xdr:rowOff>0</xdr:rowOff>
    </xdr:to>
    <xdr:sp macro="" textlink="">
      <xdr:nvSpPr>
        <xdr:cNvPr id="213" name="Line 215">
          <a:extLst>
            <a:ext uri="{FF2B5EF4-FFF2-40B4-BE49-F238E27FC236}">
              <a16:creationId xmlns:a16="http://schemas.microsoft.com/office/drawing/2014/main" id="{00000000-0008-0000-0100-0000D5000000}"/>
            </a:ext>
          </a:extLst>
        </xdr:cNvPr>
        <xdr:cNvSpPr>
          <a:spLocks noChangeShapeType="1"/>
        </xdr:cNvSpPr>
      </xdr:nvSpPr>
      <xdr:spPr bwMode="auto">
        <a:xfrm>
          <a:off x="5143500" y="10477500"/>
          <a:ext cx="219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400050</xdr:colOff>
      <xdr:row>42</xdr:row>
      <xdr:rowOff>0</xdr:rowOff>
    </xdr:from>
    <xdr:to>
      <xdr:col>8</xdr:col>
      <xdr:colOff>552450</xdr:colOff>
      <xdr:row>42</xdr:row>
      <xdr:rowOff>0</xdr:rowOff>
    </xdr:to>
    <xdr:sp macro="" textlink="">
      <xdr:nvSpPr>
        <xdr:cNvPr id="214" name="Line 216">
          <a:extLst>
            <a:ext uri="{FF2B5EF4-FFF2-40B4-BE49-F238E27FC236}">
              <a16:creationId xmlns:a16="http://schemas.microsoft.com/office/drawing/2014/main" id="{00000000-0008-0000-0100-0000D6000000}"/>
            </a:ext>
          </a:extLst>
        </xdr:cNvPr>
        <xdr:cNvSpPr>
          <a:spLocks noChangeShapeType="1"/>
        </xdr:cNvSpPr>
      </xdr:nvSpPr>
      <xdr:spPr bwMode="auto">
        <a:xfrm flipH="1">
          <a:off x="4505325" y="10477500"/>
          <a:ext cx="152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142875</xdr:colOff>
      <xdr:row>42</xdr:row>
      <xdr:rowOff>0</xdr:rowOff>
    </xdr:to>
    <xdr:sp macro="" textlink="">
      <xdr:nvSpPr>
        <xdr:cNvPr id="215" name="Line 217">
          <a:extLst>
            <a:ext uri="{FF2B5EF4-FFF2-40B4-BE49-F238E27FC236}">
              <a16:creationId xmlns:a16="http://schemas.microsoft.com/office/drawing/2014/main" id="{00000000-0008-0000-0100-0000D7000000}"/>
            </a:ext>
          </a:extLst>
        </xdr:cNvPr>
        <xdr:cNvSpPr>
          <a:spLocks noChangeShapeType="1"/>
        </xdr:cNvSpPr>
      </xdr:nvSpPr>
      <xdr:spPr bwMode="auto">
        <a:xfrm>
          <a:off x="58864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142875</xdr:colOff>
      <xdr:row>42</xdr:row>
      <xdr:rowOff>0</xdr:rowOff>
    </xdr:from>
    <xdr:to>
      <xdr:col>11</xdr:col>
      <xdr:colOff>142875</xdr:colOff>
      <xdr:row>42</xdr:row>
      <xdr:rowOff>0</xdr:rowOff>
    </xdr:to>
    <xdr:sp macro="" textlink="">
      <xdr:nvSpPr>
        <xdr:cNvPr id="216" name="Line 218">
          <a:extLst>
            <a:ext uri="{FF2B5EF4-FFF2-40B4-BE49-F238E27FC236}">
              <a16:creationId xmlns:a16="http://schemas.microsoft.com/office/drawing/2014/main" id="{00000000-0008-0000-0100-0000D8000000}"/>
            </a:ext>
          </a:extLst>
        </xdr:cNvPr>
        <xdr:cNvSpPr>
          <a:spLocks noChangeShapeType="1"/>
        </xdr:cNvSpPr>
      </xdr:nvSpPr>
      <xdr:spPr bwMode="auto">
        <a:xfrm>
          <a:off x="602932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217" name="Line 219">
          <a:extLst>
            <a:ext uri="{FF2B5EF4-FFF2-40B4-BE49-F238E27FC236}">
              <a16:creationId xmlns:a16="http://schemas.microsoft.com/office/drawing/2014/main" id="{00000000-0008-0000-0100-0000D900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218" name="Line 220">
          <a:extLst>
            <a:ext uri="{FF2B5EF4-FFF2-40B4-BE49-F238E27FC236}">
              <a16:creationId xmlns:a16="http://schemas.microsoft.com/office/drawing/2014/main" id="{00000000-0008-0000-0100-0000DA00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219" name="Line 221">
          <a:extLst>
            <a:ext uri="{FF2B5EF4-FFF2-40B4-BE49-F238E27FC236}">
              <a16:creationId xmlns:a16="http://schemas.microsoft.com/office/drawing/2014/main" id="{00000000-0008-0000-0100-0000DB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220" name="Line 222">
          <a:extLst>
            <a:ext uri="{FF2B5EF4-FFF2-40B4-BE49-F238E27FC236}">
              <a16:creationId xmlns:a16="http://schemas.microsoft.com/office/drawing/2014/main" id="{00000000-0008-0000-0100-0000DC000000}"/>
            </a:ext>
          </a:extLst>
        </xdr:cNvPr>
        <xdr:cNvSpPr>
          <a:spLocks noChangeShapeType="1"/>
        </xdr:cNvSpPr>
      </xdr:nvSpPr>
      <xdr:spPr bwMode="auto">
        <a:xfrm>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495300</xdr:colOff>
      <xdr:row>42</xdr:row>
      <xdr:rowOff>0</xdr:rowOff>
    </xdr:from>
    <xdr:to>
      <xdr:col>11</xdr:col>
      <xdr:colOff>76200</xdr:colOff>
      <xdr:row>42</xdr:row>
      <xdr:rowOff>0</xdr:rowOff>
    </xdr:to>
    <xdr:sp macro="" textlink="">
      <xdr:nvSpPr>
        <xdr:cNvPr id="221" name="Line 223">
          <a:extLst>
            <a:ext uri="{FF2B5EF4-FFF2-40B4-BE49-F238E27FC236}">
              <a16:creationId xmlns:a16="http://schemas.microsoft.com/office/drawing/2014/main" id="{00000000-0008-0000-0100-0000DD000000}"/>
            </a:ext>
          </a:extLst>
        </xdr:cNvPr>
        <xdr:cNvSpPr>
          <a:spLocks noChangeShapeType="1"/>
        </xdr:cNvSpPr>
      </xdr:nvSpPr>
      <xdr:spPr bwMode="auto">
        <a:xfrm>
          <a:off x="4600575" y="10477500"/>
          <a:ext cx="1362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438150</xdr:colOff>
      <xdr:row>42</xdr:row>
      <xdr:rowOff>0</xdr:rowOff>
    </xdr:from>
    <xdr:to>
      <xdr:col>11</xdr:col>
      <xdr:colOff>0</xdr:colOff>
      <xdr:row>42</xdr:row>
      <xdr:rowOff>0</xdr:rowOff>
    </xdr:to>
    <xdr:sp macro="" textlink="">
      <xdr:nvSpPr>
        <xdr:cNvPr id="222" name="Line 224">
          <a:extLst>
            <a:ext uri="{FF2B5EF4-FFF2-40B4-BE49-F238E27FC236}">
              <a16:creationId xmlns:a16="http://schemas.microsoft.com/office/drawing/2014/main" id="{00000000-0008-0000-0100-0000DE000000}"/>
            </a:ext>
          </a:extLst>
        </xdr:cNvPr>
        <xdr:cNvSpPr>
          <a:spLocks noChangeShapeType="1"/>
        </xdr:cNvSpPr>
      </xdr:nvSpPr>
      <xdr:spPr bwMode="auto">
        <a:xfrm>
          <a:off x="5686425" y="10477500"/>
          <a:ext cx="200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223" name="Oval 225">
          <a:extLst>
            <a:ext uri="{FF2B5EF4-FFF2-40B4-BE49-F238E27FC236}">
              <a16:creationId xmlns:a16="http://schemas.microsoft.com/office/drawing/2014/main" id="{00000000-0008-0000-0100-0000DF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224" name="Oval 226">
          <a:extLst>
            <a:ext uri="{FF2B5EF4-FFF2-40B4-BE49-F238E27FC236}">
              <a16:creationId xmlns:a16="http://schemas.microsoft.com/office/drawing/2014/main" id="{00000000-0008-0000-0100-0000E0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225" name="Oval 227">
          <a:extLst>
            <a:ext uri="{FF2B5EF4-FFF2-40B4-BE49-F238E27FC236}">
              <a16:creationId xmlns:a16="http://schemas.microsoft.com/office/drawing/2014/main" id="{00000000-0008-0000-0100-0000E1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42</xdr:row>
      <xdr:rowOff>0</xdr:rowOff>
    </xdr:from>
    <xdr:to>
      <xdr:col>6</xdr:col>
      <xdr:colOff>266700</xdr:colOff>
      <xdr:row>42</xdr:row>
      <xdr:rowOff>0</xdr:rowOff>
    </xdr:to>
    <xdr:sp macro="" textlink="">
      <xdr:nvSpPr>
        <xdr:cNvPr id="226" name="Line 228">
          <a:extLst>
            <a:ext uri="{FF2B5EF4-FFF2-40B4-BE49-F238E27FC236}">
              <a16:creationId xmlns:a16="http://schemas.microsoft.com/office/drawing/2014/main" id="{00000000-0008-0000-0100-0000E2000000}"/>
            </a:ext>
          </a:extLst>
        </xdr:cNvPr>
        <xdr:cNvSpPr>
          <a:spLocks noChangeShapeType="1"/>
        </xdr:cNvSpPr>
      </xdr:nvSpPr>
      <xdr:spPr bwMode="auto">
        <a:xfrm>
          <a:off x="2028825" y="10477500"/>
          <a:ext cx="971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42</xdr:row>
      <xdr:rowOff>0</xdr:rowOff>
    </xdr:from>
    <xdr:to>
      <xdr:col>3</xdr:col>
      <xdr:colOff>704850</xdr:colOff>
      <xdr:row>42</xdr:row>
      <xdr:rowOff>0</xdr:rowOff>
    </xdr:to>
    <xdr:sp macro="" textlink="">
      <xdr:nvSpPr>
        <xdr:cNvPr id="227" name="Line 229">
          <a:extLst>
            <a:ext uri="{FF2B5EF4-FFF2-40B4-BE49-F238E27FC236}">
              <a16:creationId xmlns:a16="http://schemas.microsoft.com/office/drawing/2014/main" id="{00000000-0008-0000-0100-0000E3000000}"/>
            </a:ext>
          </a:extLst>
        </xdr:cNvPr>
        <xdr:cNvSpPr>
          <a:spLocks noChangeShapeType="1"/>
        </xdr:cNvSpPr>
      </xdr:nvSpPr>
      <xdr:spPr bwMode="auto">
        <a:xfrm>
          <a:off x="504825" y="10477500"/>
          <a:ext cx="704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228" name="Line 230">
          <a:extLst>
            <a:ext uri="{FF2B5EF4-FFF2-40B4-BE49-F238E27FC236}">
              <a16:creationId xmlns:a16="http://schemas.microsoft.com/office/drawing/2014/main" id="{00000000-0008-0000-0100-0000E4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11</xdr:col>
      <xdr:colOff>0</xdr:colOff>
      <xdr:row>42</xdr:row>
      <xdr:rowOff>0</xdr:rowOff>
    </xdr:to>
    <xdr:sp macro="" textlink="">
      <xdr:nvSpPr>
        <xdr:cNvPr id="229" name="Line 231">
          <a:extLst>
            <a:ext uri="{FF2B5EF4-FFF2-40B4-BE49-F238E27FC236}">
              <a16:creationId xmlns:a16="http://schemas.microsoft.com/office/drawing/2014/main" id="{00000000-0008-0000-0100-0000E5000000}"/>
            </a:ext>
          </a:extLst>
        </xdr:cNvPr>
        <xdr:cNvSpPr>
          <a:spLocks noChangeShapeType="1"/>
        </xdr:cNvSpPr>
      </xdr:nvSpPr>
      <xdr:spPr bwMode="auto">
        <a:xfrm>
          <a:off x="467677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230" name="Line 232">
          <a:extLst>
            <a:ext uri="{FF2B5EF4-FFF2-40B4-BE49-F238E27FC236}">
              <a16:creationId xmlns:a16="http://schemas.microsoft.com/office/drawing/2014/main" id="{00000000-0008-0000-0100-0000E6000000}"/>
            </a:ext>
          </a:extLst>
        </xdr:cNvPr>
        <xdr:cNvSpPr>
          <a:spLocks noChangeShapeType="1"/>
        </xdr:cNvSpPr>
      </xdr:nvSpPr>
      <xdr:spPr bwMode="auto">
        <a:xfrm flipV="1">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42</xdr:row>
      <xdr:rowOff>0</xdr:rowOff>
    </xdr:from>
    <xdr:to>
      <xdr:col>11</xdr:col>
      <xdr:colOff>19050</xdr:colOff>
      <xdr:row>42</xdr:row>
      <xdr:rowOff>0</xdr:rowOff>
    </xdr:to>
    <xdr:sp macro="" textlink="">
      <xdr:nvSpPr>
        <xdr:cNvPr id="231" name="Line 233">
          <a:extLst>
            <a:ext uri="{FF2B5EF4-FFF2-40B4-BE49-F238E27FC236}">
              <a16:creationId xmlns:a16="http://schemas.microsoft.com/office/drawing/2014/main" id="{00000000-0008-0000-0100-0000E7000000}"/>
            </a:ext>
          </a:extLst>
        </xdr:cNvPr>
        <xdr:cNvSpPr>
          <a:spLocks noChangeShapeType="1"/>
        </xdr:cNvSpPr>
      </xdr:nvSpPr>
      <xdr:spPr bwMode="auto">
        <a:xfrm>
          <a:off x="469582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361950</xdr:colOff>
      <xdr:row>42</xdr:row>
      <xdr:rowOff>0</xdr:rowOff>
    </xdr:from>
    <xdr:to>
      <xdr:col>10</xdr:col>
      <xdr:colOff>238125</xdr:colOff>
      <xdr:row>42</xdr:row>
      <xdr:rowOff>0</xdr:rowOff>
    </xdr:to>
    <xdr:sp macro="" textlink="">
      <xdr:nvSpPr>
        <xdr:cNvPr id="232" name="Line 234">
          <a:extLst>
            <a:ext uri="{FF2B5EF4-FFF2-40B4-BE49-F238E27FC236}">
              <a16:creationId xmlns:a16="http://schemas.microsoft.com/office/drawing/2014/main" id="{00000000-0008-0000-0100-0000E8000000}"/>
            </a:ext>
          </a:extLst>
        </xdr:cNvPr>
        <xdr:cNvSpPr>
          <a:spLocks noChangeShapeType="1"/>
        </xdr:cNvSpPr>
      </xdr:nvSpPr>
      <xdr:spPr bwMode="auto">
        <a:xfrm>
          <a:off x="5038725" y="10477500"/>
          <a:ext cx="447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466725</xdr:colOff>
      <xdr:row>42</xdr:row>
      <xdr:rowOff>0</xdr:rowOff>
    </xdr:from>
    <xdr:to>
      <xdr:col>10</xdr:col>
      <xdr:colOff>114300</xdr:colOff>
      <xdr:row>42</xdr:row>
      <xdr:rowOff>0</xdr:rowOff>
    </xdr:to>
    <xdr:sp macro="" textlink="">
      <xdr:nvSpPr>
        <xdr:cNvPr id="233" name="Line 235">
          <a:extLst>
            <a:ext uri="{FF2B5EF4-FFF2-40B4-BE49-F238E27FC236}">
              <a16:creationId xmlns:a16="http://schemas.microsoft.com/office/drawing/2014/main" id="{00000000-0008-0000-0100-0000E9000000}"/>
            </a:ext>
          </a:extLst>
        </xdr:cNvPr>
        <xdr:cNvSpPr>
          <a:spLocks noChangeShapeType="1"/>
        </xdr:cNvSpPr>
      </xdr:nvSpPr>
      <xdr:spPr bwMode="auto">
        <a:xfrm>
          <a:off x="5143500" y="10477500"/>
          <a:ext cx="219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400050</xdr:colOff>
      <xdr:row>42</xdr:row>
      <xdr:rowOff>0</xdr:rowOff>
    </xdr:from>
    <xdr:to>
      <xdr:col>8</xdr:col>
      <xdr:colOff>552450</xdr:colOff>
      <xdr:row>42</xdr:row>
      <xdr:rowOff>0</xdr:rowOff>
    </xdr:to>
    <xdr:sp macro="" textlink="">
      <xdr:nvSpPr>
        <xdr:cNvPr id="234" name="Line 236">
          <a:extLst>
            <a:ext uri="{FF2B5EF4-FFF2-40B4-BE49-F238E27FC236}">
              <a16:creationId xmlns:a16="http://schemas.microsoft.com/office/drawing/2014/main" id="{00000000-0008-0000-0100-0000EA000000}"/>
            </a:ext>
          </a:extLst>
        </xdr:cNvPr>
        <xdr:cNvSpPr>
          <a:spLocks noChangeShapeType="1"/>
        </xdr:cNvSpPr>
      </xdr:nvSpPr>
      <xdr:spPr bwMode="auto">
        <a:xfrm flipH="1">
          <a:off x="4505325" y="10477500"/>
          <a:ext cx="152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142875</xdr:colOff>
      <xdr:row>42</xdr:row>
      <xdr:rowOff>0</xdr:rowOff>
    </xdr:to>
    <xdr:sp macro="" textlink="">
      <xdr:nvSpPr>
        <xdr:cNvPr id="235" name="Line 237">
          <a:extLst>
            <a:ext uri="{FF2B5EF4-FFF2-40B4-BE49-F238E27FC236}">
              <a16:creationId xmlns:a16="http://schemas.microsoft.com/office/drawing/2014/main" id="{00000000-0008-0000-0100-0000EB000000}"/>
            </a:ext>
          </a:extLst>
        </xdr:cNvPr>
        <xdr:cNvSpPr>
          <a:spLocks noChangeShapeType="1"/>
        </xdr:cNvSpPr>
      </xdr:nvSpPr>
      <xdr:spPr bwMode="auto">
        <a:xfrm>
          <a:off x="58864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142875</xdr:colOff>
      <xdr:row>42</xdr:row>
      <xdr:rowOff>0</xdr:rowOff>
    </xdr:from>
    <xdr:to>
      <xdr:col>11</xdr:col>
      <xdr:colOff>142875</xdr:colOff>
      <xdr:row>42</xdr:row>
      <xdr:rowOff>0</xdr:rowOff>
    </xdr:to>
    <xdr:sp macro="" textlink="">
      <xdr:nvSpPr>
        <xdr:cNvPr id="236" name="Line 238">
          <a:extLst>
            <a:ext uri="{FF2B5EF4-FFF2-40B4-BE49-F238E27FC236}">
              <a16:creationId xmlns:a16="http://schemas.microsoft.com/office/drawing/2014/main" id="{00000000-0008-0000-0100-0000EC000000}"/>
            </a:ext>
          </a:extLst>
        </xdr:cNvPr>
        <xdr:cNvSpPr>
          <a:spLocks noChangeShapeType="1"/>
        </xdr:cNvSpPr>
      </xdr:nvSpPr>
      <xdr:spPr bwMode="auto">
        <a:xfrm>
          <a:off x="602932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237" name="Line 239">
          <a:extLst>
            <a:ext uri="{FF2B5EF4-FFF2-40B4-BE49-F238E27FC236}">
              <a16:creationId xmlns:a16="http://schemas.microsoft.com/office/drawing/2014/main" id="{00000000-0008-0000-0100-0000ED00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238" name="Line 240">
          <a:extLst>
            <a:ext uri="{FF2B5EF4-FFF2-40B4-BE49-F238E27FC236}">
              <a16:creationId xmlns:a16="http://schemas.microsoft.com/office/drawing/2014/main" id="{00000000-0008-0000-0100-0000EE00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239" name="Line 241">
          <a:extLst>
            <a:ext uri="{FF2B5EF4-FFF2-40B4-BE49-F238E27FC236}">
              <a16:creationId xmlns:a16="http://schemas.microsoft.com/office/drawing/2014/main" id="{00000000-0008-0000-0100-0000EF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240" name="Line 242">
          <a:extLst>
            <a:ext uri="{FF2B5EF4-FFF2-40B4-BE49-F238E27FC236}">
              <a16:creationId xmlns:a16="http://schemas.microsoft.com/office/drawing/2014/main" id="{00000000-0008-0000-0100-0000F0000000}"/>
            </a:ext>
          </a:extLst>
        </xdr:cNvPr>
        <xdr:cNvSpPr>
          <a:spLocks noChangeShapeType="1"/>
        </xdr:cNvSpPr>
      </xdr:nvSpPr>
      <xdr:spPr bwMode="auto">
        <a:xfrm>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495300</xdr:colOff>
      <xdr:row>42</xdr:row>
      <xdr:rowOff>0</xdr:rowOff>
    </xdr:from>
    <xdr:to>
      <xdr:col>11</xdr:col>
      <xdr:colOff>76200</xdr:colOff>
      <xdr:row>42</xdr:row>
      <xdr:rowOff>0</xdr:rowOff>
    </xdr:to>
    <xdr:sp macro="" textlink="">
      <xdr:nvSpPr>
        <xdr:cNvPr id="241" name="Line 243">
          <a:extLst>
            <a:ext uri="{FF2B5EF4-FFF2-40B4-BE49-F238E27FC236}">
              <a16:creationId xmlns:a16="http://schemas.microsoft.com/office/drawing/2014/main" id="{00000000-0008-0000-0100-0000F1000000}"/>
            </a:ext>
          </a:extLst>
        </xdr:cNvPr>
        <xdr:cNvSpPr>
          <a:spLocks noChangeShapeType="1"/>
        </xdr:cNvSpPr>
      </xdr:nvSpPr>
      <xdr:spPr bwMode="auto">
        <a:xfrm>
          <a:off x="4600575" y="10477500"/>
          <a:ext cx="1362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242" name="Line 244">
          <a:extLst>
            <a:ext uri="{FF2B5EF4-FFF2-40B4-BE49-F238E27FC236}">
              <a16:creationId xmlns:a16="http://schemas.microsoft.com/office/drawing/2014/main" id="{00000000-0008-0000-0100-0000F2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243" name="Line 245">
          <a:extLst>
            <a:ext uri="{FF2B5EF4-FFF2-40B4-BE49-F238E27FC236}">
              <a16:creationId xmlns:a16="http://schemas.microsoft.com/office/drawing/2014/main" id="{00000000-0008-0000-0100-0000F3000000}"/>
            </a:ext>
          </a:extLst>
        </xdr:cNvPr>
        <xdr:cNvSpPr>
          <a:spLocks noChangeShapeType="1"/>
        </xdr:cNvSpPr>
      </xdr:nvSpPr>
      <xdr:spPr bwMode="auto">
        <a:xfrm flipV="1">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142875</xdr:colOff>
      <xdr:row>42</xdr:row>
      <xdr:rowOff>0</xdr:rowOff>
    </xdr:from>
    <xdr:to>
      <xdr:col>11</xdr:col>
      <xdr:colOff>142875</xdr:colOff>
      <xdr:row>42</xdr:row>
      <xdr:rowOff>0</xdr:rowOff>
    </xdr:to>
    <xdr:sp macro="" textlink="">
      <xdr:nvSpPr>
        <xdr:cNvPr id="244" name="Line 246">
          <a:extLst>
            <a:ext uri="{FF2B5EF4-FFF2-40B4-BE49-F238E27FC236}">
              <a16:creationId xmlns:a16="http://schemas.microsoft.com/office/drawing/2014/main" id="{00000000-0008-0000-0100-0000F4000000}"/>
            </a:ext>
          </a:extLst>
        </xdr:cNvPr>
        <xdr:cNvSpPr>
          <a:spLocks noChangeShapeType="1"/>
        </xdr:cNvSpPr>
      </xdr:nvSpPr>
      <xdr:spPr bwMode="auto">
        <a:xfrm>
          <a:off x="602932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245" name="Line 247">
          <a:extLst>
            <a:ext uri="{FF2B5EF4-FFF2-40B4-BE49-F238E27FC236}">
              <a16:creationId xmlns:a16="http://schemas.microsoft.com/office/drawing/2014/main" id="{00000000-0008-0000-0100-0000F5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246" name="Line 248">
          <a:extLst>
            <a:ext uri="{FF2B5EF4-FFF2-40B4-BE49-F238E27FC236}">
              <a16:creationId xmlns:a16="http://schemas.microsoft.com/office/drawing/2014/main" id="{00000000-0008-0000-0100-0000F6000000}"/>
            </a:ext>
          </a:extLst>
        </xdr:cNvPr>
        <xdr:cNvSpPr>
          <a:spLocks noChangeShapeType="1"/>
        </xdr:cNvSpPr>
      </xdr:nvSpPr>
      <xdr:spPr bwMode="auto">
        <a:xfrm>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266700</xdr:colOff>
      <xdr:row>42</xdr:row>
      <xdr:rowOff>0</xdr:rowOff>
    </xdr:from>
    <xdr:to>
      <xdr:col>10</xdr:col>
      <xdr:colOff>0</xdr:colOff>
      <xdr:row>42</xdr:row>
      <xdr:rowOff>0</xdr:rowOff>
    </xdr:to>
    <xdr:sp macro="" textlink="">
      <xdr:nvSpPr>
        <xdr:cNvPr id="247" name="Line 249">
          <a:extLst>
            <a:ext uri="{FF2B5EF4-FFF2-40B4-BE49-F238E27FC236}">
              <a16:creationId xmlns:a16="http://schemas.microsoft.com/office/drawing/2014/main" id="{00000000-0008-0000-0100-0000F7000000}"/>
            </a:ext>
          </a:extLst>
        </xdr:cNvPr>
        <xdr:cNvSpPr>
          <a:spLocks noChangeShapeType="1"/>
        </xdr:cNvSpPr>
      </xdr:nvSpPr>
      <xdr:spPr bwMode="auto">
        <a:xfrm>
          <a:off x="4943475" y="10477500"/>
          <a:ext cx="30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42</xdr:row>
      <xdr:rowOff>0</xdr:rowOff>
    </xdr:from>
    <xdr:to>
      <xdr:col>6</xdr:col>
      <xdr:colOff>266700</xdr:colOff>
      <xdr:row>42</xdr:row>
      <xdr:rowOff>0</xdr:rowOff>
    </xdr:to>
    <xdr:sp macro="" textlink="">
      <xdr:nvSpPr>
        <xdr:cNvPr id="248" name="Line 250">
          <a:extLst>
            <a:ext uri="{FF2B5EF4-FFF2-40B4-BE49-F238E27FC236}">
              <a16:creationId xmlns:a16="http://schemas.microsoft.com/office/drawing/2014/main" id="{00000000-0008-0000-0100-0000F8000000}"/>
            </a:ext>
          </a:extLst>
        </xdr:cNvPr>
        <xdr:cNvSpPr>
          <a:spLocks noChangeShapeType="1"/>
        </xdr:cNvSpPr>
      </xdr:nvSpPr>
      <xdr:spPr bwMode="auto">
        <a:xfrm>
          <a:off x="2028825" y="10477500"/>
          <a:ext cx="971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42</xdr:row>
      <xdr:rowOff>0</xdr:rowOff>
    </xdr:from>
    <xdr:to>
      <xdr:col>3</xdr:col>
      <xdr:colOff>704850</xdr:colOff>
      <xdr:row>42</xdr:row>
      <xdr:rowOff>0</xdr:rowOff>
    </xdr:to>
    <xdr:sp macro="" textlink="">
      <xdr:nvSpPr>
        <xdr:cNvPr id="249" name="Line 251">
          <a:extLst>
            <a:ext uri="{FF2B5EF4-FFF2-40B4-BE49-F238E27FC236}">
              <a16:creationId xmlns:a16="http://schemas.microsoft.com/office/drawing/2014/main" id="{00000000-0008-0000-0100-0000F9000000}"/>
            </a:ext>
          </a:extLst>
        </xdr:cNvPr>
        <xdr:cNvSpPr>
          <a:spLocks noChangeShapeType="1"/>
        </xdr:cNvSpPr>
      </xdr:nvSpPr>
      <xdr:spPr bwMode="auto">
        <a:xfrm>
          <a:off x="504825" y="10477500"/>
          <a:ext cx="704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250" name="Line 252">
          <a:extLst>
            <a:ext uri="{FF2B5EF4-FFF2-40B4-BE49-F238E27FC236}">
              <a16:creationId xmlns:a16="http://schemas.microsoft.com/office/drawing/2014/main" id="{00000000-0008-0000-0100-0000FA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11</xdr:col>
      <xdr:colOff>0</xdr:colOff>
      <xdr:row>42</xdr:row>
      <xdr:rowOff>0</xdr:rowOff>
    </xdr:to>
    <xdr:sp macro="" textlink="">
      <xdr:nvSpPr>
        <xdr:cNvPr id="251" name="Line 253">
          <a:extLst>
            <a:ext uri="{FF2B5EF4-FFF2-40B4-BE49-F238E27FC236}">
              <a16:creationId xmlns:a16="http://schemas.microsoft.com/office/drawing/2014/main" id="{00000000-0008-0000-0100-0000FB000000}"/>
            </a:ext>
          </a:extLst>
        </xdr:cNvPr>
        <xdr:cNvSpPr>
          <a:spLocks noChangeShapeType="1"/>
        </xdr:cNvSpPr>
      </xdr:nvSpPr>
      <xdr:spPr bwMode="auto">
        <a:xfrm>
          <a:off x="467677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252" name="Line 254">
          <a:extLst>
            <a:ext uri="{FF2B5EF4-FFF2-40B4-BE49-F238E27FC236}">
              <a16:creationId xmlns:a16="http://schemas.microsoft.com/office/drawing/2014/main" id="{00000000-0008-0000-0100-0000FC000000}"/>
            </a:ext>
          </a:extLst>
        </xdr:cNvPr>
        <xdr:cNvSpPr>
          <a:spLocks noChangeShapeType="1"/>
        </xdr:cNvSpPr>
      </xdr:nvSpPr>
      <xdr:spPr bwMode="auto">
        <a:xfrm flipV="1">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42</xdr:row>
      <xdr:rowOff>0</xdr:rowOff>
    </xdr:from>
    <xdr:to>
      <xdr:col>11</xdr:col>
      <xdr:colOff>19050</xdr:colOff>
      <xdr:row>42</xdr:row>
      <xdr:rowOff>0</xdr:rowOff>
    </xdr:to>
    <xdr:sp macro="" textlink="">
      <xdr:nvSpPr>
        <xdr:cNvPr id="253" name="Line 255">
          <a:extLst>
            <a:ext uri="{FF2B5EF4-FFF2-40B4-BE49-F238E27FC236}">
              <a16:creationId xmlns:a16="http://schemas.microsoft.com/office/drawing/2014/main" id="{00000000-0008-0000-0100-0000FD000000}"/>
            </a:ext>
          </a:extLst>
        </xdr:cNvPr>
        <xdr:cNvSpPr>
          <a:spLocks noChangeShapeType="1"/>
        </xdr:cNvSpPr>
      </xdr:nvSpPr>
      <xdr:spPr bwMode="auto">
        <a:xfrm>
          <a:off x="469582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361950</xdr:colOff>
      <xdr:row>42</xdr:row>
      <xdr:rowOff>0</xdr:rowOff>
    </xdr:from>
    <xdr:to>
      <xdr:col>10</xdr:col>
      <xdr:colOff>238125</xdr:colOff>
      <xdr:row>42</xdr:row>
      <xdr:rowOff>0</xdr:rowOff>
    </xdr:to>
    <xdr:sp macro="" textlink="">
      <xdr:nvSpPr>
        <xdr:cNvPr id="254" name="Line 256">
          <a:extLst>
            <a:ext uri="{FF2B5EF4-FFF2-40B4-BE49-F238E27FC236}">
              <a16:creationId xmlns:a16="http://schemas.microsoft.com/office/drawing/2014/main" id="{00000000-0008-0000-0100-0000FE000000}"/>
            </a:ext>
          </a:extLst>
        </xdr:cNvPr>
        <xdr:cNvSpPr>
          <a:spLocks noChangeShapeType="1"/>
        </xdr:cNvSpPr>
      </xdr:nvSpPr>
      <xdr:spPr bwMode="auto">
        <a:xfrm>
          <a:off x="5038725" y="10477500"/>
          <a:ext cx="447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466725</xdr:colOff>
      <xdr:row>42</xdr:row>
      <xdr:rowOff>0</xdr:rowOff>
    </xdr:from>
    <xdr:to>
      <xdr:col>10</xdr:col>
      <xdr:colOff>114300</xdr:colOff>
      <xdr:row>42</xdr:row>
      <xdr:rowOff>0</xdr:rowOff>
    </xdr:to>
    <xdr:sp macro="" textlink="">
      <xdr:nvSpPr>
        <xdr:cNvPr id="255" name="Line 257">
          <a:extLst>
            <a:ext uri="{FF2B5EF4-FFF2-40B4-BE49-F238E27FC236}">
              <a16:creationId xmlns:a16="http://schemas.microsoft.com/office/drawing/2014/main" id="{00000000-0008-0000-0100-0000FF000000}"/>
            </a:ext>
          </a:extLst>
        </xdr:cNvPr>
        <xdr:cNvSpPr>
          <a:spLocks noChangeShapeType="1"/>
        </xdr:cNvSpPr>
      </xdr:nvSpPr>
      <xdr:spPr bwMode="auto">
        <a:xfrm>
          <a:off x="5143500" y="10477500"/>
          <a:ext cx="219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400050</xdr:colOff>
      <xdr:row>42</xdr:row>
      <xdr:rowOff>0</xdr:rowOff>
    </xdr:from>
    <xdr:to>
      <xdr:col>8</xdr:col>
      <xdr:colOff>552450</xdr:colOff>
      <xdr:row>42</xdr:row>
      <xdr:rowOff>0</xdr:rowOff>
    </xdr:to>
    <xdr:sp macro="" textlink="">
      <xdr:nvSpPr>
        <xdr:cNvPr id="256" name="Line 258">
          <a:extLst>
            <a:ext uri="{FF2B5EF4-FFF2-40B4-BE49-F238E27FC236}">
              <a16:creationId xmlns:a16="http://schemas.microsoft.com/office/drawing/2014/main" id="{00000000-0008-0000-0100-000000010000}"/>
            </a:ext>
          </a:extLst>
        </xdr:cNvPr>
        <xdr:cNvSpPr>
          <a:spLocks noChangeShapeType="1"/>
        </xdr:cNvSpPr>
      </xdr:nvSpPr>
      <xdr:spPr bwMode="auto">
        <a:xfrm flipH="1">
          <a:off x="4505325" y="10477500"/>
          <a:ext cx="152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142875</xdr:colOff>
      <xdr:row>42</xdr:row>
      <xdr:rowOff>0</xdr:rowOff>
    </xdr:to>
    <xdr:sp macro="" textlink="">
      <xdr:nvSpPr>
        <xdr:cNvPr id="257" name="Line 259">
          <a:extLst>
            <a:ext uri="{FF2B5EF4-FFF2-40B4-BE49-F238E27FC236}">
              <a16:creationId xmlns:a16="http://schemas.microsoft.com/office/drawing/2014/main" id="{00000000-0008-0000-0100-000001010000}"/>
            </a:ext>
          </a:extLst>
        </xdr:cNvPr>
        <xdr:cNvSpPr>
          <a:spLocks noChangeShapeType="1"/>
        </xdr:cNvSpPr>
      </xdr:nvSpPr>
      <xdr:spPr bwMode="auto">
        <a:xfrm>
          <a:off x="58864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142875</xdr:colOff>
      <xdr:row>42</xdr:row>
      <xdr:rowOff>0</xdr:rowOff>
    </xdr:from>
    <xdr:to>
      <xdr:col>11</xdr:col>
      <xdr:colOff>142875</xdr:colOff>
      <xdr:row>42</xdr:row>
      <xdr:rowOff>0</xdr:rowOff>
    </xdr:to>
    <xdr:sp macro="" textlink="">
      <xdr:nvSpPr>
        <xdr:cNvPr id="258" name="Line 260">
          <a:extLst>
            <a:ext uri="{FF2B5EF4-FFF2-40B4-BE49-F238E27FC236}">
              <a16:creationId xmlns:a16="http://schemas.microsoft.com/office/drawing/2014/main" id="{00000000-0008-0000-0100-000002010000}"/>
            </a:ext>
          </a:extLst>
        </xdr:cNvPr>
        <xdr:cNvSpPr>
          <a:spLocks noChangeShapeType="1"/>
        </xdr:cNvSpPr>
      </xdr:nvSpPr>
      <xdr:spPr bwMode="auto">
        <a:xfrm>
          <a:off x="602932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259" name="Line 261">
          <a:extLst>
            <a:ext uri="{FF2B5EF4-FFF2-40B4-BE49-F238E27FC236}">
              <a16:creationId xmlns:a16="http://schemas.microsoft.com/office/drawing/2014/main" id="{00000000-0008-0000-0100-00000301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260" name="Line 262">
          <a:extLst>
            <a:ext uri="{FF2B5EF4-FFF2-40B4-BE49-F238E27FC236}">
              <a16:creationId xmlns:a16="http://schemas.microsoft.com/office/drawing/2014/main" id="{00000000-0008-0000-0100-00000401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261" name="Line 263">
          <a:extLst>
            <a:ext uri="{FF2B5EF4-FFF2-40B4-BE49-F238E27FC236}">
              <a16:creationId xmlns:a16="http://schemas.microsoft.com/office/drawing/2014/main" id="{00000000-0008-0000-0100-00000501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262" name="Line 264">
          <a:extLst>
            <a:ext uri="{FF2B5EF4-FFF2-40B4-BE49-F238E27FC236}">
              <a16:creationId xmlns:a16="http://schemas.microsoft.com/office/drawing/2014/main" id="{00000000-0008-0000-0100-000006010000}"/>
            </a:ext>
          </a:extLst>
        </xdr:cNvPr>
        <xdr:cNvSpPr>
          <a:spLocks noChangeShapeType="1"/>
        </xdr:cNvSpPr>
      </xdr:nvSpPr>
      <xdr:spPr bwMode="auto">
        <a:xfrm>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495300</xdr:colOff>
      <xdr:row>42</xdr:row>
      <xdr:rowOff>0</xdr:rowOff>
    </xdr:from>
    <xdr:to>
      <xdr:col>11</xdr:col>
      <xdr:colOff>76200</xdr:colOff>
      <xdr:row>42</xdr:row>
      <xdr:rowOff>0</xdr:rowOff>
    </xdr:to>
    <xdr:sp macro="" textlink="">
      <xdr:nvSpPr>
        <xdr:cNvPr id="263" name="Line 265">
          <a:extLst>
            <a:ext uri="{FF2B5EF4-FFF2-40B4-BE49-F238E27FC236}">
              <a16:creationId xmlns:a16="http://schemas.microsoft.com/office/drawing/2014/main" id="{00000000-0008-0000-0100-000007010000}"/>
            </a:ext>
          </a:extLst>
        </xdr:cNvPr>
        <xdr:cNvSpPr>
          <a:spLocks noChangeShapeType="1"/>
        </xdr:cNvSpPr>
      </xdr:nvSpPr>
      <xdr:spPr bwMode="auto">
        <a:xfrm>
          <a:off x="4600575" y="10477500"/>
          <a:ext cx="1362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438150</xdr:colOff>
      <xdr:row>42</xdr:row>
      <xdr:rowOff>0</xdr:rowOff>
    </xdr:from>
    <xdr:to>
      <xdr:col>11</xdr:col>
      <xdr:colOff>0</xdr:colOff>
      <xdr:row>42</xdr:row>
      <xdr:rowOff>0</xdr:rowOff>
    </xdr:to>
    <xdr:sp macro="" textlink="">
      <xdr:nvSpPr>
        <xdr:cNvPr id="264" name="Line 266">
          <a:extLst>
            <a:ext uri="{FF2B5EF4-FFF2-40B4-BE49-F238E27FC236}">
              <a16:creationId xmlns:a16="http://schemas.microsoft.com/office/drawing/2014/main" id="{00000000-0008-0000-0100-000008010000}"/>
            </a:ext>
          </a:extLst>
        </xdr:cNvPr>
        <xdr:cNvSpPr>
          <a:spLocks noChangeShapeType="1"/>
        </xdr:cNvSpPr>
      </xdr:nvSpPr>
      <xdr:spPr bwMode="auto">
        <a:xfrm>
          <a:off x="5686425" y="10477500"/>
          <a:ext cx="200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8</xdr:col>
          <xdr:colOff>0</xdr:colOff>
          <xdr:row>38</xdr:row>
          <xdr:rowOff>0</xdr:rowOff>
        </xdr:from>
        <xdr:to>
          <xdr:col>8</xdr:col>
          <xdr:colOff>523875</xdr:colOff>
          <xdr:row>38</xdr:row>
          <xdr:rowOff>0</xdr:rowOff>
        </xdr:to>
        <xdr:sp macro="" textlink="">
          <xdr:nvSpPr>
            <xdr:cNvPr id="7169" name="Imagen 29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142875</xdr:colOff>
          <xdr:row>38</xdr:row>
          <xdr:rowOff>0</xdr:rowOff>
        </xdr:from>
        <xdr:to>
          <xdr:col>8</xdr:col>
          <xdr:colOff>428625</xdr:colOff>
          <xdr:row>38</xdr:row>
          <xdr:rowOff>0</xdr:rowOff>
        </xdr:to>
        <xdr:sp macro="" textlink="">
          <xdr:nvSpPr>
            <xdr:cNvPr id="7170" name="Imagen 29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8"/>
                  </a:solidFill>
                  <a:miter lim="800000"/>
                  <a:headEnd/>
                  <a:tailEnd/>
                </a14:hiddenLine>
              </a:ext>
            </a:extLst>
          </xdr:spPr>
        </xdr:sp>
        <xdr:clientData/>
      </xdr:twoCellAnchor>
    </mc:Choice>
    <mc:Fallback/>
  </mc:AlternateContent>
  <xdr:twoCellAnchor>
    <xdr:from>
      <xdr:col>3</xdr:col>
      <xdr:colOff>135731</xdr:colOff>
      <xdr:row>2</xdr:row>
      <xdr:rowOff>50005</xdr:rowOff>
    </xdr:from>
    <xdr:to>
      <xdr:col>5</xdr:col>
      <xdr:colOff>498679</xdr:colOff>
      <xdr:row>5</xdr:row>
      <xdr:rowOff>169348</xdr:rowOff>
    </xdr:to>
    <xdr:pic>
      <xdr:nvPicPr>
        <xdr:cNvPr id="268" name="Imagen 267" descr="RI.Logo Final.png">
          <a:extLst>
            <a:ext uri="{FF2B5EF4-FFF2-40B4-BE49-F238E27FC236}">
              <a16:creationId xmlns:a16="http://schemas.microsoft.com/office/drawing/2014/main" id="{00000000-0008-0000-0100-00000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 y="466724"/>
          <a:ext cx="1886948" cy="8337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11906</xdr:colOff>
      <xdr:row>1</xdr:row>
      <xdr:rowOff>107157</xdr:rowOff>
    </xdr:from>
    <xdr:to>
      <xdr:col>4</xdr:col>
      <xdr:colOff>188800</xdr:colOff>
      <xdr:row>5</xdr:row>
      <xdr:rowOff>98821</xdr:rowOff>
    </xdr:to>
    <xdr:grpSp>
      <xdr:nvGrpSpPr>
        <xdr:cNvPr id="4" name="Grupo 3">
          <a:extLst>
            <a:ext uri="{FF2B5EF4-FFF2-40B4-BE49-F238E27FC236}">
              <a16:creationId xmlns:a16="http://schemas.microsoft.com/office/drawing/2014/main" id="{00000000-0008-0000-0200-000004000000}"/>
            </a:ext>
          </a:extLst>
        </xdr:cNvPr>
        <xdr:cNvGrpSpPr>
          <a:grpSpLocks/>
        </xdr:cNvGrpSpPr>
      </xdr:nvGrpSpPr>
      <xdr:grpSpPr>
        <a:xfrm>
          <a:off x="321469" y="297657"/>
          <a:ext cx="2117612" cy="860820"/>
          <a:chOff x="0" y="0"/>
          <a:chExt cx="6132696" cy="2664000"/>
        </a:xfrm>
      </xdr:grpSpPr>
      <xdr:pic>
        <xdr:nvPicPr>
          <xdr:cNvPr id="5" name="Imagen 4">
            <a:extLst>
              <a:ext uri="{FF2B5EF4-FFF2-40B4-BE49-F238E27FC236}">
                <a16:creationId xmlns:a16="http://schemas.microsoft.com/office/drawing/2014/main" id="{00000000-0008-0000-0200-000005000000}"/>
              </a:ext>
            </a:extLst>
          </xdr:cNvPr>
          <xdr:cNvPicPr preferRelativeResize="0">
            <a:picLocks/>
          </xdr:cNvPicPr>
        </xdr:nvPicPr>
        <xdr:blipFill>
          <a:blip xmlns:r="http://schemas.openxmlformats.org/officeDocument/2006/relationships" r:embed="rId1"/>
          <a:stretch>
            <a:fillRect/>
          </a:stretch>
        </xdr:blipFill>
        <xdr:spPr>
          <a:xfrm>
            <a:off x="936941" y="0"/>
            <a:ext cx="4140000" cy="1980000"/>
          </a:xfrm>
          <a:prstGeom prst="rect">
            <a:avLst/>
          </a:prstGeom>
        </xdr:spPr>
      </xdr:pic>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0" y="1944000"/>
            <a:ext cx="2703070" cy="720000"/>
          </a:xfrm>
          <a:prstGeom prst="rect">
            <a:avLst/>
          </a:prstGeom>
        </xdr:spPr>
      </xdr:pic>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a:stretch>
            <a:fillRect/>
          </a:stretch>
        </xdr:blipFill>
        <xdr:spPr>
          <a:xfrm>
            <a:off x="3017101" y="1980000"/>
            <a:ext cx="3115595" cy="6480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309563</xdr:colOff>
      <xdr:row>1</xdr:row>
      <xdr:rowOff>119062</xdr:rowOff>
    </xdr:from>
    <xdr:to>
      <xdr:col>6</xdr:col>
      <xdr:colOff>57831</xdr:colOff>
      <xdr:row>5</xdr:row>
      <xdr:rowOff>110726</xdr:rowOff>
    </xdr:to>
    <xdr:grpSp>
      <xdr:nvGrpSpPr>
        <xdr:cNvPr id="3" name="Grupo 2">
          <a:extLst>
            <a:ext uri="{FF2B5EF4-FFF2-40B4-BE49-F238E27FC236}">
              <a16:creationId xmlns:a16="http://schemas.microsoft.com/office/drawing/2014/main" id="{00000000-0008-0000-0300-000003000000}"/>
            </a:ext>
          </a:extLst>
        </xdr:cNvPr>
        <xdr:cNvGrpSpPr>
          <a:grpSpLocks/>
        </xdr:cNvGrpSpPr>
      </xdr:nvGrpSpPr>
      <xdr:grpSpPr>
        <a:xfrm>
          <a:off x="559594" y="309562"/>
          <a:ext cx="2117612" cy="860820"/>
          <a:chOff x="0" y="0"/>
          <a:chExt cx="6132696" cy="2664000"/>
        </a:xfrm>
      </xdr:grpSpPr>
      <xdr:pic>
        <xdr:nvPicPr>
          <xdr:cNvPr id="5" name="Imagen 4">
            <a:extLst>
              <a:ext uri="{FF2B5EF4-FFF2-40B4-BE49-F238E27FC236}">
                <a16:creationId xmlns:a16="http://schemas.microsoft.com/office/drawing/2014/main" id="{00000000-0008-0000-0300-000005000000}"/>
              </a:ext>
            </a:extLst>
          </xdr:cNvPr>
          <xdr:cNvPicPr preferRelativeResize="0">
            <a:picLocks/>
          </xdr:cNvPicPr>
        </xdr:nvPicPr>
        <xdr:blipFill>
          <a:blip xmlns:r="http://schemas.openxmlformats.org/officeDocument/2006/relationships" r:embed="rId1"/>
          <a:stretch>
            <a:fillRect/>
          </a:stretch>
        </xdr:blipFill>
        <xdr:spPr>
          <a:xfrm>
            <a:off x="936941" y="0"/>
            <a:ext cx="4140000" cy="1980000"/>
          </a:xfrm>
          <a:prstGeom prst="rect">
            <a:avLst/>
          </a:prstGeom>
        </xdr:spPr>
      </xdr:pic>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2"/>
          <a:stretch>
            <a:fillRect/>
          </a:stretch>
        </xdr:blipFill>
        <xdr:spPr>
          <a:xfrm>
            <a:off x="0" y="1944000"/>
            <a:ext cx="2703070" cy="720000"/>
          </a:xfrm>
          <a:prstGeom prst="rect">
            <a:avLst/>
          </a:prstGeom>
        </xdr:spPr>
      </xdr:pic>
      <xdr:pic>
        <xdr:nvPicPr>
          <xdr:cNvPr id="7" name="Imagen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3"/>
          <a:stretch>
            <a:fillRect/>
          </a:stretch>
        </xdr:blipFill>
        <xdr:spPr>
          <a:xfrm>
            <a:off x="3017101" y="1980000"/>
            <a:ext cx="3115595" cy="6480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183354</xdr:colOff>
      <xdr:row>2</xdr:row>
      <xdr:rowOff>38099</xdr:rowOff>
    </xdr:from>
    <xdr:to>
      <xdr:col>5</xdr:col>
      <xdr:colOff>238125</xdr:colOff>
      <xdr:row>5</xdr:row>
      <xdr:rowOff>157442</xdr:rowOff>
    </xdr:to>
    <xdr:pic>
      <xdr:nvPicPr>
        <xdr:cNvPr id="4" name="Imagen 3" descr="RI.Logo Final.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1004" y="371474"/>
          <a:ext cx="1778796" cy="8337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88102</xdr:colOff>
      <xdr:row>1</xdr:row>
      <xdr:rowOff>84955</xdr:rowOff>
    </xdr:from>
    <xdr:to>
      <xdr:col>5</xdr:col>
      <xdr:colOff>583406</xdr:colOff>
      <xdr:row>5</xdr:row>
      <xdr:rowOff>157442</xdr:rowOff>
    </xdr:to>
    <xdr:pic>
      <xdr:nvPicPr>
        <xdr:cNvPr id="3" name="Imagen 2" descr="RI.Logo Final.pn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6277" y="275455"/>
          <a:ext cx="1666879" cy="939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95250</xdr:colOff>
          <xdr:row>14</xdr:row>
          <xdr:rowOff>180975</xdr:rowOff>
        </xdr:from>
        <xdr:to>
          <xdr:col>13</xdr:col>
          <xdr:colOff>638175</xdr:colOff>
          <xdr:row>23</xdr:row>
          <xdr:rowOff>200025</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600-0000013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oneCellAnchor>
    <xdr:from>
      <xdr:col>3</xdr:col>
      <xdr:colOff>237564</xdr:colOff>
      <xdr:row>15</xdr:row>
      <xdr:rowOff>164727</xdr:rowOff>
    </xdr:from>
    <xdr:ext cx="2182777" cy="818366"/>
    <mc:AlternateContent xmlns:mc="http://schemas.openxmlformats.org/markup-compatibility/2006" xmlns:a14="http://schemas.microsoft.com/office/drawing/2010/main">
      <mc:Choice Requires="a14">
        <xdr:sp macro="" textlink="">
          <xdr:nvSpPr>
            <xdr:cNvPr id="3" name="CuadroTexto 2">
              <a:extLst>
                <a:ext uri="{FF2B5EF4-FFF2-40B4-BE49-F238E27FC236}">
                  <a16:creationId xmlns:a16="http://schemas.microsoft.com/office/drawing/2014/main" id="{00000000-0008-0000-0600-000003000000}"/>
                </a:ext>
              </a:extLst>
            </xdr:cNvPr>
            <xdr:cNvSpPr txBox="1"/>
          </xdr:nvSpPr>
          <xdr:spPr>
            <a:xfrm>
              <a:off x="1045284" y="4447167"/>
              <a:ext cx="2182777" cy="818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CO" sz="1800" i="1">
                            <a:latin typeface="Cambria Math" panose="02040503050406030204" pitchFamily="18" charset="0"/>
                          </a:rPr>
                        </m:ctrlPr>
                      </m:sSubPr>
                      <m:e>
                        <m:r>
                          <a:rPr lang="es-CO" sz="1800" i="1">
                            <a:latin typeface="Cambria Math" panose="02040503050406030204" pitchFamily="18" charset="0"/>
                            <a:ea typeface="Cambria Math" panose="02040503050406030204" pitchFamily="18" charset="0"/>
                          </a:rPr>
                          <m:t>∅</m:t>
                        </m:r>
                      </m:e>
                      <m:sub>
                        <m:r>
                          <a:rPr lang="es-CO" sz="1800" b="0" i="1">
                            <a:latin typeface="Cambria Math" panose="02040503050406030204" pitchFamily="18" charset="0"/>
                          </a:rPr>
                          <m:t>𝑚𝑖𝑛</m:t>
                        </m:r>
                      </m:sub>
                    </m:sSub>
                    <m:r>
                      <a:rPr lang="es-CO" sz="1800" b="0" i="1">
                        <a:latin typeface="Cambria Math" panose="02040503050406030204" pitchFamily="18" charset="0"/>
                      </a:rPr>
                      <m:t>=</m:t>
                    </m:r>
                    <m:rad>
                      <m:radPr>
                        <m:degHide m:val="on"/>
                        <m:ctrlPr>
                          <a:rPr lang="es-CO" sz="1800" b="0" i="1">
                            <a:latin typeface="Cambria Math" panose="02040503050406030204" pitchFamily="18" charset="0"/>
                          </a:rPr>
                        </m:ctrlPr>
                      </m:radPr>
                      <m:deg/>
                      <m:e>
                        <m:f>
                          <m:fPr>
                            <m:ctrlPr>
                              <a:rPr lang="es-CO" sz="1800" b="0" i="1">
                                <a:latin typeface="Cambria Math" panose="02040503050406030204" pitchFamily="18" charset="0"/>
                              </a:rPr>
                            </m:ctrlPr>
                          </m:fPr>
                          <m:num>
                            <m:sSub>
                              <m:sSubPr>
                                <m:ctrlPr>
                                  <a:rPr lang="es-CO" sz="1800" b="0" i="1">
                                    <a:latin typeface="Cambria Math" panose="02040503050406030204" pitchFamily="18" charset="0"/>
                                  </a:rPr>
                                </m:ctrlPr>
                              </m:sSubPr>
                              <m:e>
                                <m:r>
                                  <a:rPr lang="es-CO" sz="1800" b="0" i="1">
                                    <a:latin typeface="Cambria Math" panose="02040503050406030204" pitchFamily="18" charset="0"/>
                                  </a:rPr>
                                  <m:t>𝑄</m:t>
                                </m:r>
                              </m:e>
                              <m:sub>
                                <m:r>
                                  <a:rPr lang="es-CO" sz="1800" b="0" i="1">
                                    <a:latin typeface="Cambria Math" panose="02040503050406030204" pitchFamily="18" charset="0"/>
                                  </a:rPr>
                                  <m:t>𝑚𝑎𝑥</m:t>
                                </m:r>
                              </m:sub>
                            </m:sSub>
                          </m:num>
                          <m:den>
                            <m:sSub>
                              <m:sSubPr>
                                <m:ctrlPr>
                                  <a:rPr lang="es-CO" sz="1800" b="0" i="1">
                                    <a:latin typeface="Cambria Math" panose="02040503050406030204" pitchFamily="18" charset="0"/>
                                  </a:rPr>
                                </m:ctrlPr>
                              </m:sSubPr>
                              <m:e>
                                <m:r>
                                  <a:rPr lang="es-CO" sz="1800" b="0" i="1">
                                    <a:latin typeface="Cambria Math" panose="02040503050406030204" pitchFamily="18" charset="0"/>
                                  </a:rPr>
                                  <m:t>𝑉</m:t>
                                </m:r>
                              </m:e>
                              <m:sub>
                                <m:r>
                                  <a:rPr lang="es-CO" sz="1800" b="0" i="1">
                                    <a:latin typeface="Cambria Math" panose="02040503050406030204" pitchFamily="18" charset="0"/>
                                  </a:rPr>
                                  <m:t>𝑚𝑎𝑥</m:t>
                                </m:r>
                              </m:sub>
                            </m:sSub>
                          </m:den>
                        </m:f>
                      </m:e>
                    </m:rad>
                    <m:r>
                      <a:rPr lang="es-CO" sz="1800" b="0" i="1">
                        <a:latin typeface="Cambria Math" panose="02040503050406030204" pitchFamily="18" charset="0"/>
                      </a:rPr>
                      <m:t>∗0,64</m:t>
                    </m:r>
                  </m:oMath>
                </m:oMathPara>
              </a14:m>
              <a:endParaRPr lang="es-CO" sz="1800"/>
            </a:p>
          </xdr:txBody>
        </xdr:sp>
      </mc:Choice>
      <mc:Fallback xmlns="">
        <xdr:sp macro="" textlink="">
          <xdr:nvSpPr>
            <xdr:cNvPr id="3" name="CuadroTexto 2">
              <a:extLst>
                <a:ext uri="{FF2B5EF4-FFF2-40B4-BE49-F238E27FC236}">
                  <a16:creationId xmlns:a16="http://schemas.microsoft.com/office/drawing/2014/main" id="{6D22064B-B80F-4142-A109-218BD99B6464}"/>
                </a:ext>
              </a:extLst>
            </xdr:cNvPr>
            <xdr:cNvSpPr txBox="1"/>
          </xdr:nvSpPr>
          <xdr:spPr>
            <a:xfrm>
              <a:off x="1045284" y="4447167"/>
              <a:ext cx="2182777" cy="818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800" i="0">
                  <a:latin typeface="Cambria Math" panose="02040503050406030204" pitchFamily="18" charset="0"/>
                  <a:ea typeface="Cambria Math" panose="02040503050406030204" pitchFamily="18" charset="0"/>
                </a:rPr>
                <a:t>∅_</a:t>
              </a:r>
              <a:r>
                <a:rPr lang="es-CO" sz="1800" b="0" i="0">
                  <a:latin typeface="Cambria Math" panose="02040503050406030204" pitchFamily="18" charset="0"/>
                </a:rPr>
                <a:t>𝑚𝑖𝑛=√(𝑄_𝑚𝑎𝑥/𝑉_𝑚𝑎𝑥 )∗0,64</a:t>
              </a:r>
              <a:endParaRPr lang="es-CO" sz="1800"/>
            </a:p>
          </xdr:txBody>
        </xdr:sp>
      </mc:Fallback>
    </mc:AlternateContent>
    <xdr:clientData/>
  </xdr:oneCellAnchor>
  <xdr:oneCellAnchor>
    <xdr:from>
      <xdr:col>3</xdr:col>
      <xdr:colOff>80682</xdr:colOff>
      <xdr:row>26</xdr:row>
      <xdr:rowOff>63873</xdr:rowOff>
    </xdr:from>
    <xdr:ext cx="2851102" cy="636713"/>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00000000-0008-0000-0600-000004000000}"/>
                </a:ext>
              </a:extLst>
            </xdr:cNvPr>
            <xdr:cNvSpPr txBox="1"/>
          </xdr:nvSpPr>
          <xdr:spPr>
            <a:xfrm>
              <a:off x="888402" y="7112373"/>
              <a:ext cx="2851102" cy="6367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CO" sz="1800" i="1">
                            <a:latin typeface="Cambria Math" panose="02040503050406030204" pitchFamily="18" charset="0"/>
                          </a:rPr>
                        </m:ctrlPr>
                      </m:sSubPr>
                      <m:e>
                        <m:r>
                          <a:rPr lang="es-CO" sz="1800" b="0" i="1">
                            <a:latin typeface="Cambria Math" panose="02040503050406030204" pitchFamily="18" charset="0"/>
                          </a:rPr>
                          <m:t>𝐶𝑣</m:t>
                        </m:r>
                      </m:e>
                      <m:sub>
                        <m:r>
                          <a:rPr lang="es-CO" sz="1800" b="0" i="1">
                            <a:latin typeface="Cambria Math" panose="02040503050406030204" pitchFamily="18" charset="0"/>
                          </a:rPr>
                          <m:t>𝑚</m:t>
                        </m:r>
                        <m:r>
                          <a:rPr lang="es-CO" sz="1800" b="0" i="1">
                            <a:latin typeface="Cambria Math" panose="02040503050406030204" pitchFamily="18" charset="0"/>
                          </a:rPr>
                          <m:t>í</m:t>
                        </m:r>
                        <m:r>
                          <a:rPr lang="es-CO" sz="1800" b="0" i="1">
                            <a:latin typeface="Cambria Math" panose="02040503050406030204" pitchFamily="18" charset="0"/>
                          </a:rPr>
                          <m:t>𝑛</m:t>
                        </m:r>
                      </m:sub>
                    </m:sSub>
                    <m:r>
                      <a:rPr lang="es-CO" sz="1800" b="0" i="1">
                        <a:latin typeface="Cambria Math" panose="02040503050406030204" pitchFamily="18" charset="0"/>
                      </a:rPr>
                      <m:t>=</m:t>
                    </m:r>
                    <m:f>
                      <m:fPr>
                        <m:ctrlPr>
                          <a:rPr lang="es-CO" sz="1800" b="0" i="1">
                            <a:latin typeface="Cambria Math" panose="02040503050406030204" pitchFamily="18" charset="0"/>
                          </a:rPr>
                        </m:ctrlPr>
                      </m:fPr>
                      <m:num>
                        <m:sSub>
                          <m:sSubPr>
                            <m:ctrlPr>
                              <a:rPr lang="es-CO" sz="1800" b="0" i="1">
                                <a:latin typeface="Cambria Math" panose="02040503050406030204" pitchFamily="18" charset="0"/>
                              </a:rPr>
                            </m:ctrlPr>
                          </m:sSubPr>
                          <m:e>
                            <m:r>
                              <a:rPr lang="es-CO" sz="1800" b="0" i="1">
                                <a:latin typeface="Cambria Math" panose="02040503050406030204" pitchFamily="18" charset="0"/>
                              </a:rPr>
                              <m:t>𝑄</m:t>
                            </m:r>
                          </m:e>
                          <m:sub>
                            <m:r>
                              <a:rPr lang="es-CO" sz="1800" b="0" i="1">
                                <a:latin typeface="Cambria Math" panose="02040503050406030204" pitchFamily="18" charset="0"/>
                              </a:rPr>
                              <m:t>𝑚</m:t>
                            </m:r>
                            <m:r>
                              <a:rPr lang="es-CO" sz="1800" b="0" i="1">
                                <a:latin typeface="Cambria Math" panose="02040503050406030204" pitchFamily="18" charset="0"/>
                              </a:rPr>
                              <m:t>á</m:t>
                            </m:r>
                            <m:r>
                              <a:rPr lang="es-CO" sz="1800" b="0" i="1">
                                <a:latin typeface="Cambria Math" panose="02040503050406030204" pitchFamily="18" charset="0"/>
                              </a:rPr>
                              <m:t>𝑥</m:t>
                            </m:r>
                          </m:sub>
                        </m:sSub>
                      </m:num>
                      <m:den>
                        <m:rad>
                          <m:radPr>
                            <m:degHide m:val="on"/>
                            <m:ctrlPr>
                              <a:rPr lang="es-CO" sz="1800" b="0" i="1">
                                <a:latin typeface="Cambria Math" panose="02040503050406030204" pitchFamily="18" charset="0"/>
                              </a:rPr>
                            </m:ctrlPr>
                          </m:radPr>
                          <m:deg/>
                          <m:e>
                            <m:sSub>
                              <m:sSubPr>
                                <m:ctrlPr>
                                  <a:rPr lang="es-CO" sz="1800" b="0" i="1">
                                    <a:latin typeface="Cambria Math" panose="02040503050406030204" pitchFamily="18" charset="0"/>
                                  </a:rPr>
                                </m:ctrlPr>
                              </m:sSubPr>
                              <m:e>
                                <m:r>
                                  <a:rPr lang="es-CO" sz="1800" b="0" i="1">
                                    <a:latin typeface="Cambria Math" panose="02040503050406030204" pitchFamily="18" charset="0"/>
                                  </a:rPr>
                                  <m:t>𝑃</m:t>
                                </m:r>
                              </m:e>
                              <m:sub>
                                <m:r>
                                  <a:rPr lang="es-CO" sz="1800" b="0" i="1">
                                    <a:latin typeface="Cambria Math" panose="02040503050406030204" pitchFamily="18" charset="0"/>
                                  </a:rPr>
                                  <m:t>𝑒𝑛𝑡𝑟𝑎𝑑𝑎</m:t>
                                </m:r>
                              </m:sub>
                            </m:sSub>
                            <m:r>
                              <a:rPr lang="es-CO" sz="1800" b="0" i="1">
                                <a:latin typeface="Cambria Math" panose="02040503050406030204" pitchFamily="18" charset="0"/>
                              </a:rPr>
                              <m:t>−</m:t>
                            </m:r>
                            <m:sSub>
                              <m:sSubPr>
                                <m:ctrlPr>
                                  <a:rPr lang="es-CO" sz="1800" b="0" i="1">
                                    <a:latin typeface="Cambria Math" panose="02040503050406030204" pitchFamily="18" charset="0"/>
                                  </a:rPr>
                                </m:ctrlPr>
                              </m:sSubPr>
                              <m:e>
                                <m:r>
                                  <a:rPr lang="es-CO" sz="1800" b="0" i="1">
                                    <a:latin typeface="Cambria Math" panose="02040503050406030204" pitchFamily="18" charset="0"/>
                                  </a:rPr>
                                  <m:t>𝑃</m:t>
                                </m:r>
                              </m:e>
                              <m:sub>
                                <m:r>
                                  <a:rPr lang="es-CO" sz="1800" b="0" i="1">
                                    <a:latin typeface="Cambria Math" panose="02040503050406030204" pitchFamily="18" charset="0"/>
                                  </a:rPr>
                                  <m:t>𝑠𝑎𝑙𝑖𝑑𝑎</m:t>
                                </m:r>
                              </m:sub>
                            </m:sSub>
                          </m:e>
                        </m:rad>
                      </m:den>
                    </m:f>
                  </m:oMath>
                </m:oMathPara>
              </a14:m>
              <a:endParaRPr lang="es-CO" sz="1800"/>
            </a:p>
          </xdr:txBody>
        </xdr:sp>
      </mc:Choice>
      <mc:Fallback xmlns="">
        <xdr:sp macro="" textlink="">
          <xdr:nvSpPr>
            <xdr:cNvPr id="4" name="CuadroTexto 3">
              <a:extLst>
                <a:ext uri="{FF2B5EF4-FFF2-40B4-BE49-F238E27FC236}">
                  <a16:creationId xmlns:a16="http://schemas.microsoft.com/office/drawing/2014/main" id="{481D65AB-58FE-408F-B5D5-0254395DF132}"/>
                </a:ext>
              </a:extLst>
            </xdr:cNvPr>
            <xdr:cNvSpPr txBox="1"/>
          </xdr:nvSpPr>
          <xdr:spPr>
            <a:xfrm>
              <a:off x="888402" y="7112373"/>
              <a:ext cx="2851102" cy="6367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800" i="0">
                  <a:latin typeface="Cambria Math" panose="02040503050406030204" pitchFamily="18" charset="0"/>
                </a:rPr>
                <a:t>〖</a:t>
              </a:r>
              <a:r>
                <a:rPr lang="es-CO" sz="1800" b="0" i="0">
                  <a:latin typeface="Cambria Math" panose="02040503050406030204" pitchFamily="18" charset="0"/>
                </a:rPr>
                <a:t>𝐶𝑣〗_𝑚í𝑛=𝑄_𝑚á𝑥/√(𝑃_𝑒𝑛𝑡𝑟𝑎𝑑𝑎−𝑃_𝑠𝑎𝑙𝑖𝑑𝑎 )</a:t>
              </a:r>
              <a:endParaRPr lang="es-CO" sz="1800"/>
            </a:p>
          </xdr:txBody>
        </xdr:sp>
      </mc:Fallback>
    </mc:AlternateContent>
    <xdr:clientData/>
  </xdr:oneCellAnchor>
  <xdr:oneCellAnchor>
    <xdr:from>
      <xdr:col>4</xdr:col>
      <xdr:colOff>479611</xdr:colOff>
      <xdr:row>29</xdr:row>
      <xdr:rowOff>193862</xdr:rowOff>
    </xdr:from>
    <xdr:ext cx="876009" cy="281808"/>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00000000-0008-0000-0600-000005000000}"/>
                </a:ext>
              </a:extLst>
            </xdr:cNvPr>
            <xdr:cNvSpPr txBox="1"/>
          </xdr:nvSpPr>
          <xdr:spPr>
            <a:xfrm>
              <a:off x="2247451" y="7996742"/>
              <a:ext cx="876009" cy="281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CO" sz="1800" i="1">
                            <a:latin typeface="Cambria Math" panose="02040503050406030204" pitchFamily="18" charset="0"/>
                          </a:rPr>
                        </m:ctrlPr>
                      </m:sSubPr>
                      <m:e>
                        <m:r>
                          <a:rPr lang="es-CO" sz="1800" b="0" i="1">
                            <a:latin typeface="Cambria Math" panose="02040503050406030204" pitchFamily="18" charset="0"/>
                          </a:rPr>
                          <m:t>𝐶𝑣</m:t>
                        </m:r>
                      </m:e>
                      <m:sub>
                        <m:r>
                          <a:rPr lang="es-CO" sz="1800" b="0" i="1">
                            <a:latin typeface="Cambria Math" panose="02040503050406030204" pitchFamily="18" charset="0"/>
                          </a:rPr>
                          <m:t>𝑚</m:t>
                        </m:r>
                        <m:r>
                          <a:rPr lang="es-CO" sz="1800" b="0" i="1">
                            <a:latin typeface="Cambria Math" panose="02040503050406030204" pitchFamily="18" charset="0"/>
                          </a:rPr>
                          <m:t>í</m:t>
                        </m:r>
                        <m:r>
                          <a:rPr lang="es-CO" sz="1800" b="0" i="1">
                            <a:latin typeface="Cambria Math" panose="02040503050406030204" pitchFamily="18" charset="0"/>
                          </a:rPr>
                          <m:t>𝑛</m:t>
                        </m:r>
                      </m:sub>
                    </m:sSub>
                    <m:r>
                      <a:rPr lang="es-CO" sz="1800" b="0" i="1">
                        <a:latin typeface="Cambria Math" panose="02040503050406030204" pitchFamily="18" charset="0"/>
                      </a:rPr>
                      <m:t>=</m:t>
                    </m:r>
                  </m:oMath>
                </m:oMathPara>
              </a14:m>
              <a:endParaRPr lang="es-CO" sz="1800"/>
            </a:p>
          </xdr:txBody>
        </xdr:sp>
      </mc:Choice>
      <mc:Fallback xmlns="">
        <xdr:sp macro="" textlink="">
          <xdr:nvSpPr>
            <xdr:cNvPr id="5" name="CuadroTexto 4">
              <a:extLst>
                <a:ext uri="{FF2B5EF4-FFF2-40B4-BE49-F238E27FC236}">
                  <a16:creationId xmlns:a16="http://schemas.microsoft.com/office/drawing/2014/main" id="{A224C4E6-48F5-47CB-8BE6-479B2D7AD014}"/>
                </a:ext>
              </a:extLst>
            </xdr:cNvPr>
            <xdr:cNvSpPr txBox="1"/>
          </xdr:nvSpPr>
          <xdr:spPr>
            <a:xfrm>
              <a:off x="2247451" y="7996742"/>
              <a:ext cx="876009" cy="281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800" i="0">
                  <a:latin typeface="Cambria Math" panose="02040503050406030204" pitchFamily="18" charset="0"/>
                </a:rPr>
                <a:t>〖</a:t>
              </a:r>
              <a:r>
                <a:rPr lang="es-CO" sz="1800" b="0" i="0">
                  <a:latin typeface="Cambria Math" panose="02040503050406030204" pitchFamily="18" charset="0"/>
                </a:rPr>
                <a:t>𝐶𝑣〗_𝑚í𝑛=</a:t>
              </a:r>
              <a:endParaRPr lang="es-CO" sz="1800"/>
            </a:p>
          </xdr:txBody>
        </xdr:sp>
      </mc:Fallback>
    </mc:AlternateContent>
    <xdr:clientData/>
  </xdr:oneCellAnchor>
  <xdr:oneCellAnchor>
    <xdr:from>
      <xdr:col>3</xdr:col>
      <xdr:colOff>165846</xdr:colOff>
      <xdr:row>19</xdr:row>
      <xdr:rowOff>205069</xdr:rowOff>
    </xdr:from>
    <xdr:ext cx="772199" cy="281808"/>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00000000-0008-0000-0600-000006000000}"/>
                </a:ext>
              </a:extLst>
            </xdr:cNvPr>
            <xdr:cNvSpPr txBox="1"/>
          </xdr:nvSpPr>
          <xdr:spPr>
            <a:xfrm>
              <a:off x="973566" y="5493349"/>
              <a:ext cx="772199" cy="281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CO" sz="1800" i="1">
                            <a:latin typeface="Cambria Math" panose="02040503050406030204" pitchFamily="18" charset="0"/>
                          </a:rPr>
                        </m:ctrlPr>
                      </m:sSubPr>
                      <m:e>
                        <m:r>
                          <a:rPr lang="es-CO" sz="1800" i="1">
                            <a:latin typeface="Cambria Math" panose="02040503050406030204" pitchFamily="18" charset="0"/>
                            <a:ea typeface="Cambria Math" panose="02040503050406030204" pitchFamily="18" charset="0"/>
                          </a:rPr>
                          <m:t>∅</m:t>
                        </m:r>
                      </m:e>
                      <m:sub>
                        <m:r>
                          <a:rPr lang="es-CO" sz="1800" b="0" i="1">
                            <a:latin typeface="Cambria Math" panose="02040503050406030204" pitchFamily="18" charset="0"/>
                          </a:rPr>
                          <m:t>𝑚𝑖𝑛</m:t>
                        </m:r>
                      </m:sub>
                    </m:sSub>
                    <m:r>
                      <a:rPr lang="es-CO" sz="1800" b="0" i="1">
                        <a:latin typeface="Cambria Math" panose="02040503050406030204" pitchFamily="18" charset="0"/>
                      </a:rPr>
                      <m:t>=</m:t>
                    </m:r>
                  </m:oMath>
                </m:oMathPara>
              </a14:m>
              <a:endParaRPr lang="es-CO" sz="1800"/>
            </a:p>
          </xdr:txBody>
        </xdr:sp>
      </mc:Choice>
      <mc:Fallback xmlns="">
        <xdr:sp macro="" textlink="">
          <xdr:nvSpPr>
            <xdr:cNvPr id="6" name="CuadroTexto 5">
              <a:extLst>
                <a:ext uri="{FF2B5EF4-FFF2-40B4-BE49-F238E27FC236}">
                  <a16:creationId xmlns:a16="http://schemas.microsoft.com/office/drawing/2014/main" id="{CD2CD4FB-8B92-4DB1-A64D-0BDB023ABE3D}"/>
                </a:ext>
              </a:extLst>
            </xdr:cNvPr>
            <xdr:cNvSpPr txBox="1"/>
          </xdr:nvSpPr>
          <xdr:spPr>
            <a:xfrm>
              <a:off x="973566" y="5493349"/>
              <a:ext cx="772199" cy="281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800" i="0">
                  <a:latin typeface="Cambria Math" panose="02040503050406030204" pitchFamily="18" charset="0"/>
                  <a:ea typeface="Cambria Math" panose="02040503050406030204" pitchFamily="18" charset="0"/>
                </a:rPr>
                <a:t>∅_</a:t>
              </a:r>
              <a:r>
                <a:rPr lang="es-CO" sz="1800" b="0" i="0">
                  <a:latin typeface="Cambria Math" panose="02040503050406030204" pitchFamily="18" charset="0"/>
                </a:rPr>
                <a:t>𝑚𝑖𝑛=</a:t>
              </a:r>
              <a:endParaRPr lang="es-CO" sz="1800"/>
            </a:p>
          </xdr:txBody>
        </xdr:sp>
      </mc:Fallback>
    </mc:AlternateContent>
    <xdr:clientData/>
  </xdr:oneCellAnchor>
  <xdr:oneCellAnchor>
    <xdr:from>
      <xdr:col>3</xdr:col>
      <xdr:colOff>116541</xdr:colOff>
      <xdr:row>21</xdr:row>
      <xdr:rowOff>189381</xdr:rowOff>
    </xdr:from>
    <xdr:ext cx="772199" cy="281808"/>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00000000-0008-0000-0600-000007000000}"/>
                </a:ext>
              </a:extLst>
            </xdr:cNvPr>
            <xdr:cNvSpPr txBox="1"/>
          </xdr:nvSpPr>
          <xdr:spPr>
            <a:xfrm>
              <a:off x="924261" y="5980581"/>
              <a:ext cx="772199" cy="281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CO" sz="1800" i="1">
                            <a:latin typeface="Cambria Math" panose="02040503050406030204" pitchFamily="18" charset="0"/>
                          </a:rPr>
                        </m:ctrlPr>
                      </m:sSubPr>
                      <m:e>
                        <m:r>
                          <a:rPr lang="es-CO" sz="1800" i="1">
                            <a:latin typeface="Cambria Math" panose="02040503050406030204" pitchFamily="18" charset="0"/>
                            <a:ea typeface="Cambria Math" panose="02040503050406030204" pitchFamily="18" charset="0"/>
                          </a:rPr>
                          <m:t>∅</m:t>
                        </m:r>
                      </m:e>
                      <m:sub>
                        <m:r>
                          <a:rPr lang="es-CO" sz="1800" b="0" i="1">
                            <a:latin typeface="Cambria Math" panose="02040503050406030204" pitchFamily="18" charset="0"/>
                          </a:rPr>
                          <m:t>𝑚𝑖𝑛</m:t>
                        </m:r>
                      </m:sub>
                    </m:sSub>
                    <m:r>
                      <a:rPr lang="es-CO" sz="1800" b="0" i="1">
                        <a:latin typeface="Cambria Math" panose="02040503050406030204" pitchFamily="18" charset="0"/>
                      </a:rPr>
                      <m:t>=</m:t>
                    </m:r>
                  </m:oMath>
                </m:oMathPara>
              </a14:m>
              <a:endParaRPr lang="es-CO" sz="1800"/>
            </a:p>
          </xdr:txBody>
        </xdr:sp>
      </mc:Choice>
      <mc:Fallback xmlns="">
        <xdr:sp macro="" textlink="">
          <xdr:nvSpPr>
            <xdr:cNvPr id="7" name="CuadroTexto 6">
              <a:extLst>
                <a:ext uri="{FF2B5EF4-FFF2-40B4-BE49-F238E27FC236}">
                  <a16:creationId xmlns:a16="http://schemas.microsoft.com/office/drawing/2014/main" id="{EC5CD549-1699-4913-82CA-7F42B3347A78}"/>
                </a:ext>
              </a:extLst>
            </xdr:cNvPr>
            <xdr:cNvSpPr txBox="1"/>
          </xdr:nvSpPr>
          <xdr:spPr>
            <a:xfrm>
              <a:off x="924261" y="5980581"/>
              <a:ext cx="772199" cy="281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800" i="0">
                  <a:latin typeface="Cambria Math" panose="02040503050406030204" pitchFamily="18" charset="0"/>
                  <a:ea typeface="Cambria Math" panose="02040503050406030204" pitchFamily="18" charset="0"/>
                </a:rPr>
                <a:t>∅_</a:t>
              </a:r>
              <a:r>
                <a:rPr lang="es-CO" sz="1800" b="0" i="0">
                  <a:latin typeface="Cambria Math" panose="02040503050406030204" pitchFamily="18" charset="0"/>
                </a:rPr>
                <a:t>𝑚𝑖𝑛=</a:t>
              </a:r>
              <a:endParaRPr lang="es-CO" sz="1800"/>
            </a:p>
          </xdr:txBody>
        </xdr:sp>
      </mc:Fallback>
    </mc:AlternateContent>
    <xdr:clientData/>
  </xdr:oneCellAnchor>
  <xdr:twoCellAnchor>
    <xdr:from>
      <xdr:col>1</xdr:col>
      <xdr:colOff>25400</xdr:colOff>
      <xdr:row>1</xdr:row>
      <xdr:rowOff>16933</xdr:rowOff>
    </xdr:from>
    <xdr:to>
      <xdr:col>4</xdr:col>
      <xdr:colOff>435973</xdr:colOff>
      <xdr:row>1</xdr:row>
      <xdr:rowOff>850651</xdr:rowOff>
    </xdr:to>
    <xdr:pic>
      <xdr:nvPicPr>
        <xdr:cNvPr id="8" name="Imagen 7" descr="RI.Logo Final.png">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0933" y="169333"/>
          <a:ext cx="1934573" cy="8337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50-URBAN%20SALITRE%20ETAPA%20II/3.DOCUMENTOS/HSGI/2.MEMORIAS/MC_01_HS_D-050_V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ES"/>
      <sheetName val="ACOMETIDA Y TANQUE"/>
      <sheetName val="RUTA CRITICA EXT"/>
      <sheetName val="UNIDADES HUNTER"/>
      <sheetName val="RUTA CRITICA APTO B1 P.24"/>
      <sheetName val="RUTA CRITICA SERVICIOS"/>
      <sheetName val="EQUIPOS"/>
      <sheetName val="REGULADORAS"/>
      <sheetName val="VRP AFP PISOS MEDIOS"/>
      <sheetName val="VRP AFP PISOS BAJOS"/>
      <sheetName val="VRP AFS"/>
      <sheetName val="VRP CTO BOMBAS"/>
      <sheetName val="DES. A.R."/>
      <sheetName val="DES. A.LL."/>
      <sheetName val="EYECTOR-AR"/>
      <sheetName val="EYECTOR-ALL "/>
      <sheetName val="UNID FLUX"/>
      <sheetName val="UNID TANQUE"/>
      <sheetName val="D Reales"/>
      <sheetName val="Q-Qo"/>
    </sheetNames>
    <sheetDataSet>
      <sheetData sheetId="0">
        <row r="2">
          <cell r="C2" t="str">
            <v>PROYECTO URBAN SALITRE - ZURICH</v>
          </cell>
        </row>
      </sheetData>
      <sheetData sheetId="1">
        <row r="7">
          <cell r="M7">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4">
          <cell r="A4">
            <v>1</v>
          </cell>
        </row>
      </sheetData>
      <sheetData sheetId="18">
        <row r="30">
          <cell r="K30">
            <v>0.5</v>
          </cell>
        </row>
      </sheetData>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mments" Target="../comments4.xml"/><Relationship Id="rId5" Type="http://schemas.openxmlformats.org/officeDocument/2006/relationships/image" Target="../media/image8.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49"/>
  <sheetViews>
    <sheetView topLeftCell="A13" zoomScale="90" zoomScaleNormal="90" workbookViewId="0">
      <selection activeCell="C40" sqref="C40"/>
    </sheetView>
  </sheetViews>
  <sheetFormatPr baseColWidth="10" defaultColWidth="11.42578125" defaultRowHeight="15" x14ac:dyDescent="0.25"/>
  <cols>
    <col min="1" max="1" width="3.140625" style="58" customWidth="1"/>
    <col min="2" max="5" width="11.42578125" style="58"/>
    <col min="6" max="6" width="11.42578125" style="58" customWidth="1"/>
    <col min="7" max="13" width="11.42578125" style="58"/>
    <col min="14" max="14" width="10.42578125" style="58" bestFit="1" customWidth="1"/>
    <col min="15" max="16384" width="11.42578125" style="58"/>
  </cols>
  <sheetData>
    <row r="1" spans="2:15" ht="15.75" thickBot="1" x14ac:dyDescent="0.3"/>
    <row r="2" spans="2:15" ht="15.75" thickBot="1" x14ac:dyDescent="0.3">
      <c r="B2" s="526" t="s">
        <v>69</v>
      </c>
      <c r="C2" s="527"/>
      <c r="D2" s="527"/>
      <c r="E2" s="527"/>
      <c r="F2" s="527"/>
      <c r="G2" s="527"/>
      <c r="H2" s="527"/>
      <c r="I2" s="527"/>
      <c r="J2" s="527"/>
      <c r="K2" s="527"/>
      <c r="L2" s="528"/>
      <c r="N2" s="529" t="s">
        <v>70</v>
      </c>
      <c r="O2" s="530"/>
    </row>
    <row r="3" spans="2:15" ht="15.75" thickBot="1" x14ac:dyDescent="0.3">
      <c r="B3" s="531" t="s">
        <v>71</v>
      </c>
      <c r="C3" s="533" t="s">
        <v>72</v>
      </c>
      <c r="D3" s="533" t="s">
        <v>73</v>
      </c>
      <c r="E3" s="533" t="s">
        <v>74</v>
      </c>
      <c r="F3" s="533" t="s">
        <v>75</v>
      </c>
      <c r="G3" s="533" t="s">
        <v>76</v>
      </c>
      <c r="H3" s="533" t="s">
        <v>77</v>
      </c>
      <c r="I3" s="533" t="s">
        <v>78</v>
      </c>
      <c r="J3" s="533" t="s">
        <v>79</v>
      </c>
      <c r="K3" s="533" t="s">
        <v>80</v>
      </c>
      <c r="L3" s="524" t="s">
        <v>149</v>
      </c>
      <c r="N3" s="59" t="s">
        <v>81</v>
      </c>
      <c r="O3" s="60" t="s">
        <v>3</v>
      </c>
    </row>
    <row r="4" spans="2:15" x14ac:dyDescent="0.25">
      <c r="B4" s="532"/>
      <c r="C4" s="534"/>
      <c r="D4" s="534"/>
      <c r="E4" s="534"/>
      <c r="F4" s="534"/>
      <c r="G4" s="534"/>
      <c r="H4" s="534"/>
      <c r="I4" s="534"/>
      <c r="J4" s="534"/>
      <c r="K4" s="534"/>
      <c r="L4" s="525"/>
      <c r="N4" s="61" t="s">
        <v>2</v>
      </c>
      <c r="O4" s="62">
        <v>120</v>
      </c>
    </row>
    <row r="5" spans="2:15" x14ac:dyDescent="0.25">
      <c r="B5" s="532"/>
      <c r="C5" s="534"/>
      <c r="D5" s="534"/>
      <c r="E5" s="534"/>
      <c r="F5" s="534"/>
      <c r="G5" s="534"/>
      <c r="H5" s="534"/>
      <c r="I5" s="534"/>
      <c r="J5" s="534"/>
      <c r="K5" s="534"/>
      <c r="L5" s="525"/>
      <c r="N5" s="63" t="s">
        <v>82</v>
      </c>
      <c r="O5" s="64">
        <v>120</v>
      </c>
    </row>
    <row r="6" spans="2:15" x14ac:dyDescent="0.25">
      <c r="B6" s="532"/>
      <c r="C6" s="534"/>
      <c r="D6" s="534"/>
      <c r="E6" s="534"/>
      <c r="F6" s="534"/>
      <c r="G6" s="534"/>
      <c r="H6" s="534"/>
      <c r="I6" s="534"/>
      <c r="J6" s="534"/>
      <c r="K6" s="534"/>
      <c r="L6" s="525"/>
      <c r="N6" s="63" t="s">
        <v>83</v>
      </c>
      <c r="O6" s="64">
        <v>140</v>
      </c>
    </row>
    <row r="7" spans="2:15" ht="16.5" x14ac:dyDescent="0.25">
      <c r="B7" s="65">
        <v>0.5</v>
      </c>
      <c r="C7" s="66">
        <v>0.622</v>
      </c>
      <c r="D7" s="66">
        <v>0.54600000000000004</v>
      </c>
      <c r="E7" s="66">
        <v>0.52700000000000002</v>
      </c>
      <c r="F7" s="66">
        <v>0.54500000000000004</v>
      </c>
      <c r="G7" s="66">
        <v>0.59599999999999997</v>
      </c>
      <c r="H7" s="66">
        <v>0.71599999999999997</v>
      </c>
      <c r="I7" s="66">
        <v>0.48899999999999999</v>
      </c>
      <c r="J7" s="66">
        <v>0.64500000000000002</v>
      </c>
      <c r="K7" s="66">
        <v>0.66100000000000003</v>
      </c>
      <c r="L7" s="67"/>
      <c r="N7" s="63" t="s">
        <v>84</v>
      </c>
      <c r="O7" s="64">
        <v>140</v>
      </c>
    </row>
    <row r="8" spans="2:15" ht="16.5" x14ac:dyDescent="0.25">
      <c r="B8" s="65">
        <v>0.75</v>
      </c>
      <c r="C8" s="66">
        <v>0.82399999999999995</v>
      </c>
      <c r="D8" s="66">
        <v>0.74199999999999999</v>
      </c>
      <c r="E8" s="66">
        <v>0.745</v>
      </c>
      <c r="F8" s="66">
        <v>0.78500000000000003</v>
      </c>
      <c r="G8" s="66">
        <v>0.81100000000000005</v>
      </c>
      <c r="H8" s="66">
        <v>0.93</v>
      </c>
      <c r="I8" s="66">
        <v>0.71499999999999997</v>
      </c>
      <c r="J8" s="66">
        <v>0.873</v>
      </c>
      <c r="K8" s="66"/>
      <c r="L8" s="67">
        <v>0.874</v>
      </c>
      <c r="N8" s="63" t="s">
        <v>85</v>
      </c>
      <c r="O8" s="64">
        <v>140</v>
      </c>
    </row>
    <row r="9" spans="2:15" ht="16.5" x14ac:dyDescent="0.25">
      <c r="B9" s="65">
        <v>1</v>
      </c>
      <c r="C9" s="66">
        <v>1.0489999999999999</v>
      </c>
      <c r="D9" s="66">
        <v>0.95699999999999996</v>
      </c>
      <c r="E9" s="66">
        <v>0.995</v>
      </c>
      <c r="F9" s="66">
        <v>1.0249999999999999</v>
      </c>
      <c r="G9" s="66">
        <v>1.0549999999999999</v>
      </c>
      <c r="H9" s="66">
        <v>1.1890000000000001</v>
      </c>
      <c r="I9" s="66">
        <f>23.4/25.4</f>
        <v>0.92125984251968507</v>
      </c>
      <c r="J9" s="66">
        <v>1.091</v>
      </c>
      <c r="K9" s="66">
        <v>1.111</v>
      </c>
      <c r="L9" s="67">
        <v>1.101</v>
      </c>
      <c r="N9" s="63" t="s">
        <v>86</v>
      </c>
      <c r="O9" s="64">
        <v>140</v>
      </c>
    </row>
    <row r="10" spans="2:15" ht="16.5" x14ac:dyDescent="0.25">
      <c r="B10" s="65">
        <v>1.25</v>
      </c>
      <c r="C10" s="66">
        <v>1.38</v>
      </c>
      <c r="D10" s="66">
        <v>1.278</v>
      </c>
      <c r="E10" s="66">
        <v>1.2450000000000001</v>
      </c>
      <c r="F10" s="66">
        <v>1.2649999999999999</v>
      </c>
      <c r="G10" s="66">
        <v>1.2909999999999999</v>
      </c>
      <c r="H10" s="66">
        <v>1.502</v>
      </c>
      <c r="I10" s="66">
        <f>28.6/25.4</f>
        <v>1.1259842519685042</v>
      </c>
      <c r="J10" s="66">
        <v>1.4350000000000001</v>
      </c>
      <c r="K10" s="66"/>
      <c r="L10" s="67">
        <v>1.3939999999999999</v>
      </c>
      <c r="N10" s="63" t="s">
        <v>1</v>
      </c>
      <c r="O10" s="64">
        <v>150</v>
      </c>
    </row>
    <row r="11" spans="2:15" ht="16.5" x14ac:dyDescent="0.25">
      <c r="B11" s="65">
        <v>1.5</v>
      </c>
      <c r="C11" s="66">
        <v>1.61</v>
      </c>
      <c r="D11" s="66">
        <v>1.5</v>
      </c>
      <c r="E11" s="66">
        <v>1.4810000000000001</v>
      </c>
      <c r="F11" s="66">
        <v>1.5049999999999999</v>
      </c>
      <c r="G11" s="66">
        <v>1.5269999999999999</v>
      </c>
      <c r="H11" s="66">
        <v>1.72</v>
      </c>
      <c r="I11" s="66">
        <f>33.7/25.4</f>
        <v>1.3267716535433072</v>
      </c>
      <c r="J11" s="66">
        <v>1.6719999999999999</v>
      </c>
      <c r="K11" s="66"/>
      <c r="L11" s="67">
        <v>1.5980000000000001</v>
      </c>
      <c r="N11" s="63" t="s">
        <v>87</v>
      </c>
      <c r="O11" s="64">
        <v>150</v>
      </c>
    </row>
    <row r="12" spans="2:15" ht="17.25" thickBot="1" x14ac:dyDescent="0.3">
      <c r="B12" s="65">
        <v>2</v>
      </c>
      <c r="C12" s="66">
        <v>2.0670000000000002</v>
      </c>
      <c r="D12" s="66">
        <v>1.9390000000000001</v>
      </c>
      <c r="E12" s="66">
        <v>1.9590000000000001</v>
      </c>
      <c r="F12" s="66">
        <v>1.9850000000000001</v>
      </c>
      <c r="G12" s="66">
        <v>2.0089999999999999</v>
      </c>
      <c r="H12" s="66">
        <v>2.149</v>
      </c>
      <c r="I12" s="66">
        <f>44.2/25.4</f>
        <v>1.7401574803149609</v>
      </c>
      <c r="J12" s="66">
        <v>2.1070000000000002</v>
      </c>
      <c r="K12" s="66">
        <v>2.1269999999999998</v>
      </c>
      <c r="L12" s="67">
        <v>2.0030000000000001</v>
      </c>
      <c r="N12" s="68" t="s">
        <v>17</v>
      </c>
      <c r="O12" s="69">
        <v>100</v>
      </c>
    </row>
    <row r="13" spans="2:15" ht="16.5" x14ac:dyDescent="0.25">
      <c r="B13" s="65">
        <v>2.5</v>
      </c>
      <c r="C13" s="66">
        <v>2.4689999999999999</v>
      </c>
      <c r="D13" s="66">
        <v>2.323</v>
      </c>
      <c r="E13" s="66">
        <v>2.4350000000000001</v>
      </c>
      <c r="F13" s="66">
        <v>2.4649999999999999</v>
      </c>
      <c r="G13" s="66">
        <v>2.4950000000000001</v>
      </c>
      <c r="H13" s="66">
        <v>2.601</v>
      </c>
      <c r="I13" s="66"/>
      <c r="J13" s="66">
        <v>2.5219999999999998</v>
      </c>
      <c r="K13" s="66"/>
      <c r="L13" s="67">
        <v>2.423</v>
      </c>
    </row>
    <row r="14" spans="2:15" ht="16.5" x14ac:dyDescent="0.25">
      <c r="B14" s="65">
        <v>3</v>
      </c>
      <c r="C14" s="66">
        <v>3.0680000000000001</v>
      </c>
      <c r="D14" s="66">
        <v>2.9</v>
      </c>
      <c r="E14" s="66">
        <v>2.907</v>
      </c>
      <c r="F14" s="66">
        <v>2.9449999999999998</v>
      </c>
      <c r="G14" s="66">
        <v>2.9809999999999999</v>
      </c>
      <c r="H14" s="66">
        <v>3.1659999999999999</v>
      </c>
      <c r="I14" s="66"/>
      <c r="J14" s="66">
        <v>3.1819999999999999</v>
      </c>
      <c r="K14" s="66"/>
      <c r="L14" s="67">
        <v>2.95</v>
      </c>
    </row>
    <row r="15" spans="2:15" ht="16.5" x14ac:dyDescent="0.25">
      <c r="B15" s="65">
        <v>4</v>
      </c>
      <c r="C15" s="66">
        <v>4.0259999999999998</v>
      </c>
      <c r="D15" s="66">
        <v>3.8260000000000001</v>
      </c>
      <c r="E15" s="66">
        <v>3.8570000000000002</v>
      </c>
      <c r="F15" s="66">
        <v>3.9049999999999998</v>
      </c>
      <c r="G15" s="66">
        <v>3.9350000000000001</v>
      </c>
      <c r="H15" s="66">
        <v>4.0720000000000001</v>
      </c>
      <c r="I15" s="66"/>
      <c r="J15" s="66">
        <v>4.1520000000000001</v>
      </c>
      <c r="K15" s="66"/>
      <c r="L15" s="67"/>
    </row>
    <row r="16" spans="2:15" ht="16.5" x14ac:dyDescent="0.25">
      <c r="B16" s="65">
        <v>6</v>
      </c>
      <c r="C16" s="66">
        <v>6.0650000000000004</v>
      </c>
      <c r="D16" s="66">
        <v>5.7610000000000001</v>
      </c>
      <c r="E16" s="66"/>
      <c r="F16" s="66"/>
      <c r="G16" s="66"/>
      <c r="H16" s="66">
        <f>6.62-0.32*2</f>
        <v>5.98</v>
      </c>
      <c r="I16" s="66"/>
      <c r="J16" s="66"/>
      <c r="K16" s="66"/>
      <c r="L16" s="67"/>
    </row>
    <row r="17" spans="2:12" ht="16.5" x14ac:dyDescent="0.25">
      <c r="B17" s="65">
        <v>8</v>
      </c>
      <c r="C17" s="66">
        <v>7.891</v>
      </c>
      <c r="D17" s="66">
        <v>7.625</v>
      </c>
      <c r="E17" s="66"/>
      <c r="F17" s="66"/>
      <c r="G17" s="66"/>
      <c r="H17" s="66">
        <f>8.62-0.41*2</f>
        <v>7.7999999999999989</v>
      </c>
      <c r="I17" s="66"/>
      <c r="J17" s="66"/>
      <c r="K17" s="66"/>
      <c r="L17" s="67"/>
    </row>
    <row r="18" spans="2:12" ht="16.5" x14ac:dyDescent="0.25">
      <c r="B18" s="65">
        <v>10</v>
      </c>
      <c r="C18" s="66">
        <v>10.02</v>
      </c>
      <c r="D18" s="66">
        <v>9.5640000000000001</v>
      </c>
      <c r="E18" s="66"/>
      <c r="F18" s="66"/>
      <c r="G18" s="66"/>
      <c r="H18" s="66">
        <f>10.75-0.51*2</f>
        <v>9.73</v>
      </c>
      <c r="I18" s="66"/>
      <c r="J18" s="66"/>
      <c r="K18" s="66"/>
      <c r="L18" s="67"/>
    </row>
    <row r="19" spans="2:12" ht="16.5" x14ac:dyDescent="0.25">
      <c r="B19" s="65">
        <v>12</v>
      </c>
      <c r="C19" s="66">
        <v>11.938000000000001</v>
      </c>
      <c r="D19" s="66">
        <v>11.375999999999999</v>
      </c>
      <c r="E19" s="66"/>
      <c r="F19" s="66"/>
      <c r="G19" s="66"/>
      <c r="H19" s="66">
        <f>12.75-0.6*2</f>
        <v>11.55</v>
      </c>
      <c r="I19" s="66"/>
      <c r="J19" s="66"/>
      <c r="K19" s="66"/>
      <c r="L19" s="67"/>
    </row>
    <row r="20" spans="2:12" ht="16.5" x14ac:dyDescent="0.25">
      <c r="B20" s="65">
        <v>14</v>
      </c>
      <c r="C20" s="66">
        <v>13.125999999999999</v>
      </c>
      <c r="D20" s="66">
        <v>12.5</v>
      </c>
      <c r="E20" s="66"/>
      <c r="F20" s="66"/>
      <c r="G20" s="66"/>
      <c r="H20" s="66">
        <f>14-0.67*2</f>
        <v>12.66</v>
      </c>
      <c r="I20" s="66"/>
      <c r="J20" s="66"/>
      <c r="K20" s="66"/>
      <c r="L20" s="67"/>
    </row>
    <row r="21" spans="2:12" ht="16.5" x14ac:dyDescent="0.25">
      <c r="B21" s="65">
        <v>16</v>
      </c>
      <c r="C21" s="66"/>
      <c r="D21" s="66"/>
      <c r="E21" s="66"/>
      <c r="F21" s="66"/>
      <c r="G21" s="66"/>
      <c r="H21" s="66">
        <f>16-0.76*2</f>
        <v>14.48</v>
      </c>
      <c r="I21" s="66"/>
      <c r="J21" s="66"/>
      <c r="K21" s="66"/>
      <c r="L21" s="67"/>
    </row>
    <row r="22" spans="2:12" ht="16.5" x14ac:dyDescent="0.25">
      <c r="B22" s="65">
        <v>18</v>
      </c>
      <c r="C22" s="66"/>
      <c r="D22" s="66"/>
      <c r="E22" s="66"/>
      <c r="F22" s="66"/>
      <c r="G22" s="66"/>
      <c r="H22" s="66">
        <f>18-0.86*2</f>
        <v>16.28</v>
      </c>
      <c r="I22" s="66"/>
      <c r="J22" s="66"/>
      <c r="K22" s="66"/>
      <c r="L22" s="67"/>
    </row>
    <row r="23" spans="2:12" ht="16.5" x14ac:dyDescent="0.25">
      <c r="B23" s="65">
        <v>20</v>
      </c>
      <c r="C23" s="66"/>
      <c r="D23" s="66"/>
      <c r="E23" s="66"/>
      <c r="F23" s="66"/>
      <c r="G23" s="66"/>
      <c r="H23" s="66">
        <f>20-0.95*2</f>
        <v>18.100000000000001</v>
      </c>
      <c r="I23" s="66"/>
      <c r="J23" s="66"/>
      <c r="K23" s="66"/>
      <c r="L23" s="67"/>
    </row>
    <row r="24" spans="2:12" ht="17.25" thickBot="1" x14ac:dyDescent="0.3">
      <c r="B24" s="70">
        <v>24</v>
      </c>
      <c r="C24" s="71"/>
      <c r="D24" s="71"/>
      <c r="E24" s="71"/>
      <c r="F24" s="71"/>
      <c r="G24" s="71"/>
      <c r="H24" s="71">
        <f>24-1.14*2</f>
        <v>21.72</v>
      </c>
      <c r="I24" s="71"/>
      <c r="J24" s="71"/>
      <c r="K24" s="71"/>
      <c r="L24" s="72"/>
    </row>
    <row r="26" spans="2:12" ht="15.75" thickBot="1" x14ac:dyDescent="0.3"/>
    <row r="27" spans="2:12" ht="15.75" thickBot="1" x14ac:dyDescent="0.3">
      <c r="B27" s="526" t="s">
        <v>88</v>
      </c>
      <c r="C27" s="527"/>
      <c r="D27" s="527"/>
      <c r="E27" s="527"/>
      <c r="F27" s="527"/>
      <c r="G27" s="527"/>
      <c r="H27" s="527"/>
      <c r="I27" s="527"/>
      <c r="J27" s="527"/>
      <c r="K27" s="527"/>
      <c r="L27" s="528"/>
    </row>
    <row r="28" spans="2:12" ht="14.45" customHeight="1" x14ac:dyDescent="0.25">
      <c r="B28" s="531" t="s">
        <v>71</v>
      </c>
      <c r="C28" s="533" t="s">
        <v>72</v>
      </c>
      <c r="D28" s="533" t="s">
        <v>73</v>
      </c>
      <c r="E28" s="533" t="s">
        <v>74</v>
      </c>
      <c r="F28" s="533" t="s">
        <v>75</v>
      </c>
      <c r="G28" s="533" t="s">
        <v>76</v>
      </c>
      <c r="H28" s="533" t="s">
        <v>89</v>
      </c>
      <c r="I28" s="533" t="s">
        <v>78</v>
      </c>
      <c r="J28" s="533" t="s">
        <v>79</v>
      </c>
      <c r="K28" s="533" t="s">
        <v>80</v>
      </c>
      <c r="L28" s="524" t="s">
        <v>149</v>
      </c>
    </row>
    <row r="29" spans="2:12" x14ac:dyDescent="0.25">
      <c r="B29" s="532"/>
      <c r="C29" s="534"/>
      <c r="D29" s="534"/>
      <c r="E29" s="534"/>
      <c r="F29" s="534"/>
      <c r="G29" s="534"/>
      <c r="H29" s="534"/>
      <c r="I29" s="534"/>
      <c r="J29" s="534"/>
      <c r="K29" s="534"/>
      <c r="L29" s="525"/>
    </row>
    <row r="30" spans="2:12" x14ac:dyDescent="0.25">
      <c r="B30" s="532"/>
      <c r="C30" s="534"/>
      <c r="D30" s="534"/>
      <c r="E30" s="534"/>
      <c r="F30" s="534"/>
      <c r="G30" s="534"/>
      <c r="H30" s="534"/>
      <c r="I30" s="534"/>
      <c r="J30" s="534"/>
      <c r="K30" s="534"/>
      <c r="L30" s="525"/>
    </row>
    <row r="31" spans="2:12" x14ac:dyDescent="0.25">
      <c r="B31" s="532"/>
      <c r="C31" s="534"/>
      <c r="D31" s="534"/>
      <c r="E31" s="534"/>
      <c r="F31" s="534"/>
      <c r="G31" s="534"/>
      <c r="H31" s="534"/>
      <c r="I31" s="534"/>
      <c r="J31" s="534"/>
      <c r="K31" s="534"/>
      <c r="L31" s="525"/>
    </row>
    <row r="32" spans="2:12" ht="16.5" x14ac:dyDescent="0.25">
      <c r="B32" s="65">
        <f>+B7</f>
        <v>0.5</v>
      </c>
      <c r="C32" s="66">
        <f t="shared" ref="C32:K47" si="0">C7*25.4</f>
        <v>15.798799999999998</v>
      </c>
      <c r="D32" s="66">
        <f t="shared" si="0"/>
        <v>13.868399999999999</v>
      </c>
      <c r="E32" s="66">
        <f t="shared" si="0"/>
        <v>13.3858</v>
      </c>
      <c r="F32" s="66">
        <f t="shared" si="0"/>
        <v>13.843</v>
      </c>
      <c r="G32" s="66">
        <f t="shared" si="0"/>
        <v>15.138399999999999</v>
      </c>
      <c r="H32" s="66">
        <f t="shared" si="0"/>
        <v>18.186399999999999</v>
      </c>
      <c r="I32" s="66">
        <f t="shared" si="0"/>
        <v>12.420599999999999</v>
      </c>
      <c r="J32" s="66">
        <f t="shared" si="0"/>
        <v>16.382999999999999</v>
      </c>
      <c r="K32" s="66">
        <f t="shared" si="0"/>
        <v>16.789400000000001</v>
      </c>
      <c r="L32" s="67">
        <f t="shared" ref="L32" si="1">L7*25.4</f>
        <v>0</v>
      </c>
    </row>
    <row r="33" spans="2:12" ht="16.5" x14ac:dyDescent="0.25">
      <c r="B33" s="65">
        <f t="shared" ref="B33:B49" si="2">+B8</f>
        <v>0.75</v>
      </c>
      <c r="C33" s="66">
        <f t="shared" si="0"/>
        <v>20.929599999999997</v>
      </c>
      <c r="D33" s="66">
        <f t="shared" si="0"/>
        <v>18.846799999999998</v>
      </c>
      <c r="E33" s="66">
        <f t="shared" si="0"/>
        <v>18.922999999999998</v>
      </c>
      <c r="F33" s="66">
        <f t="shared" si="0"/>
        <v>19.939</v>
      </c>
      <c r="G33" s="66">
        <f t="shared" si="0"/>
        <v>20.599399999999999</v>
      </c>
      <c r="H33" s="66">
        <f t="shared" si="0"/>
        <v>23.622</v>
      </c>
      <c r="I33" s="66">
        <f t="shared" si="0"/>
        <v>18.160999999999998</v>
      </c>
      <c r="J33" s="66">
        <f t="shared" si="0"/>
        <v>22.174199999999999</v>
      </c>
      <c r="K33" s="66">
        <f t="shared" si="0"/>
        <v>0</v>
      </c>
      <c r="L33" s="67">
        <f t="shared" ref="L33" si="3">L8*25.4</f>
        <v>22.1996</v>
      </c>
    </row>
    <row r="34" spans="2:12" ht="16.5" x14ac:dyDescent="0.25">
      <c r="B34" s="65">
        <f t="shared" si="2"/>
        <v>1</v>
      </c>
      <c r="C34" s="66">
        <f t="shared" si="0"/>
        <v>26.644599999999997</v>
      </c>
      <c r="D34" s="66">
        <f t="shared" si="0"/>
        <v>24.307799999999997</v>
      </c>
      <c r="E34" s="66">
        <f t="shared" si="0"/>
        <v>25.273</v>
      </c>
      <c r="F34" s="66">
        <f t="shared" si="0"/>
        <v>26.034999999999997</v>
      </c>
      <c r="G34" s="66">
        <f t="shared" si="0"/>
        <v>26.796999999999997</v>
      </c>
      <c r="H34" s="66">
        <f t="shared" si="0"/>
        <v>30.200600000000001</v>
      </c>
      <c r="I34" s="66">
        <f t="shared" si="0"/>
        <v>23.4</v>
      </c>
      <c r="J34" s="66">
        <f t="shared" si="0"/>
        <v>27.711399999999998</v>
      </c>
      <c r="K34" s="66">
        <f t="shared" si="0"/>
        <v>28.219399999999997</v>
      </c>
      <c r="L34" s="67">
        <f t="shared" ref="L34" si="4">L9*25.4</f>
        <v>27.965399999999999</v>
      </c>
    </row>
    <row r="35" spans="2:12" ht="16.5" x14ac:dyDescent="0.25">
      <c r="B35" s="65">
        <f t="shared" si="2"/>
        <v>1.25</v>
      </c>
      <c r="C35" s="66">
        <f t="shared" si="0"/>
        <v>35.051999999999992</v>
      </c>
      <c r="D35" s="66">
        <f t="shared" si="0"/>
        <v>32.461199999999998</v>
      </c>
      <c r="E35" s="66">
        <f t="shared" si="0"/>
        <v>31.623000000000001</v>
      </c>
      <c r="F35" s="66">
        <f t="shared" si="0"/>
        <v>32.130999999999993</v>
      </c>
      <c r="G35" s="66">
        <f t="shared" si="0"/>
        <v>32.791399999999996</v>
      </c>
      <c r="H35" s="66">
        <f t="shared" si="0"/>
        <v>38.150799999999997</v>
      </c>
      <c r="I35" s="66">
        <f t="shared" si="0"/>
        <v>28.600000000000005</v>
      </c>
      <c r="J35" s="66">
        <f t="shared" si="0"/>
        <v>36.448999999999998</v>
      </c>
      <c r="K35" s="66">
        <f t="shared" si="0"/>
        <v>0</v>
      </c>
      <c r="L35" s="67">
        <f t="shared" ref="L35" si="5">L10*25.4</f>
        <v>35.407599999999995</v>
      </c>
    </row>
    <row r="36" spans="2:12" ht="16.5" x14ac:dyDescent="0.25">
      <c r="B36" s="65">
        <f t="shared" si="2"/>
        <v>1.5</v>
      </c>
      <c r="C36" s="66">
        <f t="shared" si="0"/>
        <v>40.893999999999998</v>
      </c>
      <c r="D36" s="66">
        <f t="shared" si="0"/>
        <v>38.099999999999994</v>
      </c>
      <c r="E36" s="66">
        <f t="shared" si="0"/>
        <v>37.617400000000004</v>
      </c>
      <c r="F36" s="66">
        <f t="shared" si="0"/>
        <v>38.226999999999997</v>
      </c>
      <c r="G36" s="66">
        <f t="shared" si="0"/>
        <v>38.785799999999995</v>
      </c>
      <c r="H36" s="66">
        <f t="shared" si="0"/>
        <v>43.687999999999995</v>
      </c>
      <c r="I36" s="66">
        <f t="shared" si="0"/>
        <v>33.700000000000003</v>
      </c>
      <c r="J36" s="66">
        <f t="shared" si="0"/>
        <v>42.468799999999995</v>
      </c>
      <c r="K36" s="66">
        <f t="shared" si="0"/>
        <v>0</v>
      </c>
      <c r="L36" s="67">
        <f t="shared" ref="L36" si="6">L11*25.4</f>
        <v>40.589199999999998</v>
      </c>
    </row>
    <row r="37" spans="2:12" ht="16.5" x14ac:dyDescent="0.25">
      <c r="B37" s="65">
        <f t="shared" si="2"/>
        <v>2</v>
      </c>
      <c r="C37" s="66">
        <f t="shared" si="0"/>
        <v>52.501800000000003</v>
      </c>
      <c r="D37" s="66">
        <f t="shared" si="0"/>
        <v>49.250599999999999</v>
      </c>
      <c r="E37" s="66">
        <f t="shared" si="0"/>
        <v>49.758600000000001</v>
      </c>
      <c r="F37" s="66">
        <f t="shared" si="0"/>
        <v>50.418999999999997</v>
      </c>
      <c r="G37" s="66">
        <f t="shared" si="0"/>
        <v>51.028599999999997</v>
      </c>
      <c r="H37" s="66">
        <f t="shared" si="0"/>
        <v>54.584599999999995</v>
      </c>
      <c r="I37" s="66">
        <f t="shared" si="0"/>
        <v>44.2</v>
      </c>
      <c r="J37" s="66">
        <f t="shared" si="0"/>
        <v>53.517800000000001</v>
      </c>
      <c r="K37" s="66">
        <f t="shared" si="0"/>
        <v>54.02579999999999</v>
      </c>
      <c r="L37" s="67">
        <f t="shared" ref="L37" si="7">L12*25.4</f>
        <v>50.876199999999997</v>
      </c>
    </row>
    <row r="38" spans="2:12" ht="16.5" x14ac:dyDescent="0.25">
      <c r="B38" s="65">
        <f t="shared" si="2"/>
        <v>2.5</v>
      </c>
      <c r="C38" s="66">
        <f t="shared" si="0"/>
        <v>62.712599999999995</v>
      </c>
      <c r="D38" s="66">
        <f t="shared" si="0"/>
        <v>59.004199999999997</v>
      </c>
      <c r="E38" s="66">
        <f t="shared" si="0"/>
        <v>61.848999999999997</v>
      </c>
      <c r="F38" s="66">
        <f t="shared" si="0"/>
        <v>62.61099999999999</v>
      </c>
      <c r="G38" s="66">
        <f t="shared" si="0"/>
        <v>63.372999999999998</v>
      </c>
      <c r="H38" s="66">
        <f t="shared" si="0"/>
        <v>66.065399999999997</v>
      </c>
      <c r="I38" s="66">
        <f t="shared" si="0"/>
        <v>0</v>
      </c>
      <c r="J38" s="66">
        <f t="shared" si="0"/>
        <v>64.058799999999991</v>
      </c>
      <c r="K38" s="66">
        <f t="shared" si="0"/>
        <v>0</v>
      </c>
      <c r="L38" s="67">
        <f t="shared" ref="L38" si="8">L13*25.4</f>
        <v>61.544199999999996</v>
      </c>
    </row>
    <row r="39" spans="2:12" ht="16.5" x14ac:dyDescent="0.25">
      <c r="B39" s="65">
        <f t="shared" si="2"/>
        <v>3</v>
      </c>
      <c r="C39" s="66">
        <f t="shared" si="0"/>
        <v>77.927199999999999</v>
      </c>
      <c r="D39" s="66">
        <f t="shared" si="0"/>
        <v>73.66</v>
      </c>
      <c r="E39" s="66">
        <f t="shared" si="0"/>
        <v>73.837800000000001</v>
      </c>
      <c r="F39" s="66">
        <f t="shared" si="0"/>
        <v>74.802999999999997</v>
      </c>
      <c r="G39" s="66">
        <f t="shared" si="0"/>
        <v>75.717399999999998</v>
      </c>
      <c r="H39" s="66">
        <f t="shared" si="0"/>
        <v>80.416399999999996</v>
      </c>
      <c r="I39" s="66">
        <f t="shared" si="0"/>
        <v>0</v>
      </c>
      <c r="J39" s="66">
        <f t="shared" si="0"/>
        <v>80.822800000000001</v>
      </c>
      <c r="K39" s="66">
        <f t="shared" si="0"/>
        <v>0</v>
      </c>
      <c r="L39" s="67">
        <f t="shared" ref="L39" si="9">L14*25.4</f>
        <v>74.930000000000007</v>
      </c>
    </row>
    <row r="40" spans="2:12" ht="16.5" x14ac:dyDescent="0.25">
      <c r="B40" s="65">
        <f t="shared" si="2"/>
        <v>4</v>
      </c>
      <c r="C40" s="66">
        <f t="shared" si="0"/>
        <v>102.26039999999999</v>
      </c>
      <c r="D40" s="66">
        <f t="shared" si="0"/>
        <v>97.180399999999992</v>
      </c>
      <c r="E40" s="66">
        <f t="shared" si="0"/>
        <v>97.967799999999997</v>
      </c>
      <c r="F40" s="66">
        <f t="shared" si="0"/>
        <v>99.186999999999983</v>
      </c>
      <c r="G40" s="66">
        <f t="shared" si="0"/>
        <v>99.948999999999998</v>
      </c>
      <c r="H40" s="66">
        <f t="shared" si="0"/>
        <v>103.4288</v>
      </c>
      <c r="I40" s="66">
        <f t="shared" si="0"/>
        <v>0</v>
      </c>
      <c r="J40" s="66">
        <f t="shared" si="0"/>
        <v>105.46079999999999</v>
      </c>
      <c r="K40" s="66">
        <f t="shared" si="0"/>
        <v>0</v>
      </c>
      <c r="L40" s="67">
        <f t="shared" ref="L40" si="10">L15*25.4</f>
        <v>0</v>
      </c>
    </row>
    <row r="41" spans="2:12" ht="16.5" x14ac:dyDescent="0.25">
      <c r="B41" s="65">
        <f t="shared" si="2"/>
        <v>6</v>
      </c>
      <c r="C41" s="66">
        <f t="shared" si="0"/>
        <v>154.05099999999999</v>
      </c>
      <c r="D41" s="66">
        <f t="shared" si="0"/>
        <v>146.32939999999999</v>
      </c>
      <c r="E41" s="66">
        <f t="shared" si="0"/>
        <v>0</v>
      </c>
      <c r="F41" s="66">
        <f t="shared" si="0"/>
        <v>0</v>
      </c>
      <c r="G41" s="66">
        <f t="shared" si="0"/>
        <v>0</v>
      </c>
      <c r="H41" s="66">
        <f t="shared" si="0"/>
        <v>151.892</v>
      </c>
      <c r="I41" s="66">
        <f t="shared" si="0"/>
        <v>0</v>
      </c>
      <c r="J41" s="66">
        <f t="shared" si="0"/>
        <v>0</v>
      </c>
      <c r="K41" s="66">
        <f t="shared" si="0"/>
        <v>0</v>
      </c>
      <c r="L41" s="67">
        <f t="shared" ref="L41" si="11">L16*25.4</f>
        <v>0</v>
      </c>
    </row>
    <row r="42" spans="2:12" ht="16.5" x14ac:dyDescent="0.25">
      <c r="B42" s="65">
        <f t="shared" si="2"/>
        <v>8</v>
      </c>
      <c r="C42" s="66">
        <f t="shared" si="0"/>
        <v>200.4314</v>
      </c>
      <c r="D42" s="66">
        <f t="shared" si="0"/>
        <v>193.67499999999998</v>
      </c>
      <c r="E42" s="66">
        <f t="shared" si="0"/>
        <v>0</v>
      </c>
      <c r="F42" s="66">
        <f t="shared" si="0"/>
        <v>0</v>
      </c>
      <c r="G42" s="66">
        <f t="shared" si="0"/>
        <v>0</v>
      </c>
      <c r="H42" s="66">
        <f t="shared" si="0"/>
        <v>198.11999999999995</v>
      </c>
      <c r="I42" s="66">
        <f t="shared" si="0"/>
        <v>0</v>
      </c>
      <c r="J42" s="66">
        <f t="shared" si="0"/>
        <v>0</v>
      </c>
      <c r="K42" s="66">
        <f t="shared" si="0"/>
        <v>0</v>
      </c>
      <c r="L42" s="67">
        <f t="shared" ref="L42" si="12">L17*25.4</f>
        <v>0</v>
      </c>
    </row>
    <row r="43" spans="2:12" ht="16.5" x14ac:dyDescent="0.25">
      <c r="B43" s="65">
        <f t="shared" si="2"/>
        <v>10</v>
      </c>
      <c r="C43" s="66">
        <f t="shared" si="0"/>
        <v>254.50799999999998</v>
      </c>
      <c r="D43" s="66">
        <f t="shared" si="0"/>
        <v>242.92559999999997</v>
      </c>
      <c r="E43" s="66">
        <f t="shared" si="0"/>
        <v>0</v>
      </c>
      <c r="F43" s="66">
        <f t="shared" si="0"/>
        <v>0</v>
      </c>
      <c r="G43" s="66">
        <f t="shared" si="0"/>
        <v>0</v>
      </c>
      <c r="H43" s="66">
        <f t="shared" si="0"/>
        <v>247.142</v>
      </c>
      <c r="I43" s="66">
        <f t="shared" si="0"/>
        <v>0</v>
      </c>
      <c r="J43" s="66">
        <f t="shared" si="0"/>
        <v>0</v>
      </c>
      <c r="K43" s="66">
        <f t="shared" si="0"/>
        <v>0</v>
      </c>
      <c r="L43" s="67">
        <f t="shared" ref="L43" si="13">L18*25.4</f>
        <v>0</v>
      </c>
    </row>
    <row r="44" spans="2:12" ht="16.5" x14ac:dyDescent="0.25">
      <c r="B44" s="65">
        <f t="shared" si="2"/>
        <v>12</v>
      </c>
      <c r="C44" s="66">
        <f t="shared" si="0"/>
        <v>303.22519999999997</v>
      </c>
      <c r="D44" s="66">
        <f t="shared" si="0"/>
        <v>288.95039999999995</v>
      </c>
      <c r="E44" s="66">
        <f t="shared" si="0"/>
        <v>0</v>
      </c>
      <c r="F44" s="66">
        <f t="shared" si="0"/>
        <v>0</v>
      </c>
      <c r="G44" s="66">
        <f t="shared" si="0"/>
        <v>0</v>
      </c>
      <c r="H44" s="66">
        <f t="shared" si="0"/>
        <v>293.37</v>
      </c>
      <c r="I44" s="66">
        <f t="shared" si="0"/>
        <v>0</v>
      </c>
      <c r="J44" s="66">
        <f t="shared" si="0"/>
        <v>0</v>
      </c>
      <c r="K44" s="66">
        <f t="shared" si="0"/>
        <v>0</v>
      </c>
      <c r="L44" s="67">
        <f t="shared" ref="L44" si="14">L19*25.4</f>
        <v>0</v>
      </c>
    </row>
    <row r="45" spans="2:12" ht="16.5" x14ac:dyDescent="0.25">
      <c r="B45" s="65">
        <f t="shared" si="2"/>
        <v>14</v>
      </c>
      <c r="C45" s="66">
        <f t="shared" si="0"/>
        <v>333.40039999999999</v>
      </c>
      <c r="D45" s="66">
        <f t="shared" si="0"/>
        <v>317.5</v>
      </c>
      <c r="E45" s="66">
        <f t="shared" si="0"/>
        <v>0</v>
      </c>
      <c r="F45" s="66">
        <f t="shared" si="0"/>
        <v>0</v>
      </c>
      <c r="G45" s="66">
        <f t="shared" si="0"/>
        <v>0</v>
      </c>
      <c r="H45" s="66">
        <f t="shared" si="0"/>
        <v>321.56399999999996</v>
      </c>
      <c r="I45" s="66">
        <f t="shared" si="0"/>
        <v>0</v>
      </c>
      <c r="J45" s="66">
        <f t="shared" si="0"/>
        <v>0</v>
      </c>
      <c r="K45" s="66">
        <f t="shared" si="0"/>
        <v>0</v>
      </c>
      <c r="L45" s="67">
        <f t="shared" ref="L45" si="15">L20*25.4</f>
        <v>0</v>
      </c>
    </row>
    <row r="46" spans="2:12" ht="16.5" x14ac:dyDescent="0.25">
      <c r="B46" s="65">
        <f t="shared" si="2"/>
        <v>16</v>
      </c>
      <c r="C46" s="66">
        <f t="shared" si="0"/>
        <v>0</v>
      </c>
      <c r="D46" s="66">
        <f t="shared" si="0"/>
        <v>0</v>
      </c>
      <c r="E46" s="66">
        <f t="shared" si="0"/>
        <v>0</v>
      </c>
      <c r="F46" s="66">
        <f t="shared" si="0"/>
        <v>0</v>
      </c>
      <c r="G46" s="66">
        <f t="shared" si="0"/>
        <v>0</v>
      </c>
      <c r="H46" s="66">
        <f t="shared" si="0"/>
        <v>367.79199999999997</v>
      </c>
      <c r="I46" s="66">
        <f t="shared" si="0"/>
        <v>0</v>
      </c>
      <c r="J46" s="66">
        <f t="shared" si="0"/>
        <v>0</v>
      </c>
      <c r="K46" s="66">
        <f t="shared" si="0"/>
        <v>0</v>
      </c>
      <c r="L46" s="67">
        <f t="shared" ref="L46" si="16">L21*25.4</f>
        <v>0</v>
      </c>
    </row>
    <row r="47" spans="2:12" ht="16.5" x14ac:dyDescent="0.25">
      <c r="B47" s="65">
        <f t="shared" si="2"/>
        <v>18</v>
      </c>
      <c r="C47" s="66">
        <f t="shared" si="0"/>
        <v>0</v>
      </c>
      <c r="D47" s="66">
        <f t="shared" si="0"/>
        <v>0</v>
      </c>
      <c r="E47" s="66">
        <f t="shared" si="0"/>
        <v>0</v>
      </c>
      <c r="F47" s="66">
        <f t="shared" si="0"/>
        <v>0</v>
      </c>
      <c r="G47" s="66">
        <f t="shared" si="0"/>
        <v>0</v>
      </c>
      <c r="H47" s="66">
        <f t="shared" si="0"/>
        <v>413.512</v>
      </c>
      <c r="I47" s="66">
        <f t="shared" si="0"/>
        <v>0</v>
      </c>
      <c r="J47" s="66">
        <f t="shared" si="0"/>
        <v>0</v>
      </c>
      <c r="K47" s="66">
        <f t="shared" si="0"/>
        <v>0</v>
      </c>
      <c r="L47" s="67">
        <f t="shared" ref="L47" si="17">L22*25.4</f>
        <v>0</v>
      </c>
    </row>
    <row r="48" spans="2:12" ht="16.5" x14ac:dyDescent="0.25">
      <c r="B48" s="65">
        <f>+B23</f>
        <v>20</v>
      </c>
      <c r="C48" s="66">
        <f t="shared" ref="C48:K49" si="18">C23*25.4</f>
        <v>0</v>
      </c>
      <c r="D48" s="66">
        <f t="shared" si="18"/>
        <v>0</v>
      </c>
      <c r="E48" s="66">
        <f t="shared" si="18"/>
        <v>0</v>
      </c>
      <c r="F48" s="66">
        <f t="shared" si="18"/>
        <v>0</v>
      </c>
      <c r="G48" s="66">
        <f t="shared" si="18"/>
        <v>0</v>
      </c>
      <c r="H48" s="66">
        <f t="shared" si="18"/>
        <v>459.74</v>
      </c>
      <c r="I48" s="66">
        <f t="shared" si="18"/>
        <v>0</v>
      </c>
      <c r="J48" s="66">
        <f t="shared" si="18"/>
        <v>0</v>
      </c>
      <c r="K48" s="66">
        <f t="shared" si="18"/>
        <v>0</v>
      </c>
      <c r="L48" s="67">
        <f t="shared" ref="L48" si="19">L23*25.4</f>
        <v>0</v>
      </c>
    </row>
    <row r="49" spans="2:12" ht="17.25" thickBot="1" x14ac:dyDescent="0.3">
      <c r="B49" s="70">
        <f t="shared" si="2"/>
        <v>24</v>
      </c>
      <c r="C49" s="71">
        <f t="shared" si="18"/>
        <v>0</v>
      </c>
      <c r="D49" s="71">
        <f t="shared" si="18"/>
        <v>0</v>
      </c>
      <c r="E49" s="71">
        <f t="shared" si="18"/>
        <v>0</v>
      </c>
      <c r="F49" s="71">
        <f t="shared" si="18"/>
        <v>0</v>
      </c>
      <c r="G49" s="71">
        <f t="shared" si="18"/>
        <v>0</v>
      </c>
      <c r="H49" s="71">
        <f t="shared" si="18"/>
        <v>551.68799999999999</v>
      </c>
      <c r="I49" s="71">
        <f t="shared" si="18"/>
        <v>0</v>
      </c>
      <c r="J49" s="71">
        <f t="shared" si="18"/>
        <v>0</v>
      </c>
      <c r="K49" s="71">
        <f t="shared" si="18"/>
        <v>0</v>
      </c>
      <c r="L49" s="72">
        <f t="shared" ref="L49" si="20">L24*25.4</f>
        <v>0</v>
      </c>
    </row>
  </sheetData>
  <mergeCells count="25">
    <mergeCell ref="I3:I6"/>
    <mergeCell ref="J3:J6"/>
    <mergeCell ref="K3:K6"/>
    <mergeCell ref="B28:B31"/>
    <mergeCell ref="C28:C31"/>
    <mergeCell ref="D28:D31"/>
    <mergeCell ref="E28:E31"/>
    <mergeCell ref="F28:F31"/>
    <mergeCell ref="G28:G31"/>
    <mergeCell ref="L28:L31"/>
    <mergeCell ref="B2:L2"/>
    <mergeCell ref="B27:L27"/>
    <mergeCell ref="N2:O2"/>
    <mergeCell ref="B3:B6"/>
    <mergeCell ref="C3:C6"/>
    <mergeCell ref="D3:D6"/>
    <mergeCell ref="E3:E6"/>
    <mergeCell ref="F3:F6"/>
    <mergeCell ref="G3:G6"/>
    <mergeCell ref="H3:H6"/>
    <mergeCell ref="L3:L6"/>
    <mergeCell ref="H28:H31"/>
    <mergeCell ref="I28:I31"/>
    <mergeCell ref="J28:J31"/>
    <mergeCell ref="K28:K3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S42"/>
  <sheetViews>
    <sheetView view="pageBreakPreview" zoomScale="80" zoomScaleNormal="100" zoomScaleSheetLayoutView="80" workbookViewId="0">
      <selection activeCell="E20" sqref="E20:M23"/>
    </sheetView>
  </sheetViews>
  <sheetFormatPr baseColWidth="10" defaultColWidth="11.42578125" defaultRowHeight="15" x14ac:dyDescent="0.25"/>
  <cols>
    <col min="1" max="1" width="2.85546875" style="77" customWidth="1"/>
    <col min="2" max="2" width="3.85546875" style="77" customWidth="1"/>
    <col min="3" max="3" width="3.7109375" style="77" customWidth="1"/>
    <col min="4" max="4" width="11" style="77" customWidth="1"/>
    <col min="5" max="5" width="11.85546875" style="77" customWidth="1"/>
    <col min="6" max="6" width="10.5703125" style="77" customWidth="1"/>
    <col min="7" max="7" width="10.7109375" style="77" customWidth="1"/>
    <col min="8" max="8" width="9.85546875" style="77" customWidth="1"/>
    <col min="9" max="10" width="8.5703125" style="77" customWidth="1"/>
    <col min="11" max="11" width="9.5703125" style="77" customWidth="1"/>
    <col min="12" max="12" width="8.85546875" style="77" customWidth="1"/>
    <col min="13" max="13" width="10.42578125" style="77" customWidth="1"/>
    <col min="14" max="14" width="9.7109375" style="77" customWidth="1"/>
    <col min="15" max="15" width="3.7109375" style="77" customWidth="1"/>
    <col min="16" max="16" width="3.85546875" style="77" customWidth="1"/>
    <col min="17" max="16384" width="11.42578125" style="77"/>
  </cols>
  <sheetData>
    <row r="1" spans="3:19" ht="15.75" thickBot="1" x14ac:dyDescent="0.3"/>
    <row r="2" spans="3:19" s="81" customFormat="1" ht="17.25" thickBot="1" x14ac:dyDescent="0.3">
      <c r="C2" s="78"/>
      <c r="D2" s="79"/>
      <c r="E2" s="79"/>
      <c r="F2" s="79"/>
      <c r="G2" s="79"/>
      <c r="H2" s="79"/>
      <c r="I2" s="79"/>
      <c r="J2" s="79"/>
      <c r="K2" s="79"/>
      <c r="L2" s="79"/>
      <c r="M2" s="79"/>
      <c r="N2" s="79"/>
      <c r="O2" s="80"/>
    </row>
    <row r="3" spans="3:19" s="81" customFormat="1" ht="18.75" customHeight="1" x14ac:dyDescent="0.25">
      <c r="C3" s="82"/>
      <c r="D3" s="544"/>
      <c r="E3" s="545"/>
      <c r="F3" s="545"/>
      <c r="G3" s="540" t="s">
        <v>177</v>
      </c>
      <c r="H3" s="540"/>
      <c r="I3" s="540"/>
      <c r="J3" s="540"/>
      <c r="K3" s="540"/>
      <c r="L3" s="540"/>
      <c r="M3" s="540"/>
      <c r="N3" s="541"/>
      <c r="O3" s="83"/>
    </row>
    <row r="4" spans="3:19" s="81" customFormat="1" ht="18.75" customHeight="1" x14ac:dyDescent="0.25">
      <c r="C4" s="82"/>
      <c r="D4" s="546"/>
      <c r="E4" s="547"/>
      <c r="F4" s="547"/>
      <c r="G4" s="542" t="s">
        <v>137</v>
      </c>
      <c r="H4" s="542"/>
      <c r="I4" s="542"/>
      <c r="J4" s="542"/>
      <c r="K4" s="542"/>
      <c r="L4" s="542"/>
      <c r="M4" s="542"/>
      <c r="N4" s="543"/>
      <c r="O4" s="83"/>
    </row>
    <row r="5" spans="3:19" s="81" customFormat="1" ht="18.75" customHeight="1" x14ac:dyDescent="0.25">
      <c r="C5" s="82"/>
      <c r="D5" s="546"/>
      <c r="E5" s="547"/>
      <c r="F5" s="547"/>
      <c r="G5" s="542" t="s">
        <v>138</v>
      </c>
      <c r="H5" s="542"/>
      <c r="I5" s="542"/>
      <c r="J5" s="542"/>
      <c r="K5" s="542"/>
      <c r="L5" s="542"/>
      <c r="M5" s="542"/>
      <c r="N5" s="543"/>
      <c r="O5" s="83"/>
    </row>
    <row r="6" spans="3:19" s="81" customFormat="1" ht="18.75" customHeight="1" thickBot="1" x14ac:dyDescent="0.3">
      <c r="C6" s="82"/>
      <c r="D6" s="548"/>
      <c r="E6" s="549"/>
      <c r="F6" s="549"/>
      <c r="G6" s="250"/>
      <c r="H6" s="250"/>
      <c r="I6" s="249"/>
      <c r="J6" s="249"/>
      <c r="K6" s="249"/>
      <c r="L6" s="250"/>
      <c r="M6" s="250"/>
      <c r="N6" s="251"/>
      <c r="O6" s="83"/>
    </row>
    <row r="7" spans="3:19" s="81" customFormat="1" ht="17.25" customHeight="1" thickBot="1" x14ac:dyDescent="0.3">
      <c r="C7" s="82"/>
      <c r="D7" s="84"/>
      <c r="E7" s="84"/>
      <c r="F7" s="84"/>
      <c r="G7" s="84"/>
      <c r="H7" s="84"/>
      <c r="I7" s="84"/>
      <c r="J7" s="84"/>
      <c r="K7" s="84"/>
      <c r="L7" s="84"/>
      <c r="M7" s="84"/>
      <c r="N7" s="84"/>
      <c r="O7" s="83"/>
    </row>
    <row r="8" spans="3:19" ht="15.75" customHeight="1" x14ac:dyDescent="0.25">
      <c r="C8" s="85"/>
      <c r="D8" s="86"/>
      <c r="E8" s="87"/>
      <c r="F8" s="87"/>
      <c r="G8" s="87"/>
      <c r="H8" s="87"/>
      <c r="I8" s="87"/>
      <c r="J8" s="87"/>
      <c r="K8" s="87"/>
      <c r="L8" s="87"/>
      <c r="M8" s="87"/>
      <c r="N8" s="88"/>
      <c r="O8" s="89"/>
      <c r="P8" s="90"/>
    </row>
    <row r="9" spans="3:19" x14ac:dyDescent="0.25">
      <c r="C9" s="85"/>
      <c r="D9" s="85"/>
      <c r="E9" s="90"/>
      <c r="F9" s="90"/>
      <c r="G9" s="90"/>
      <c r="H9" s="90"/>
      <c r="I9" s="90"/>
      <c r="J9" s="90"/>
      <c r="K9" s="90"/>
      <c r="L9" s="90"/>
      <c r="M9" s="90"/>
      <c r="N9" s="89"/>
      <c r="O9" s="89"/>
      <c r="P9" s="90"/>
    </row>
    <row r="10" spans="3:19" s="95" customFormat="1" ht="18.75" x14ac:dyDescent="0.25">
      <c r="C10" s="91"/>
      <c r="D10" s="92"/>
      <c r="E10" s="93"/>
      <c r="F10" s="93"/>
      <c r="G10" s="93"/>
      <c r="H10" s="93"/>
      <c r="I10" s="93"/>
      <c r="J10" s="93"/>
      <c r="K10" s="93"/>
      <c r="L10" s="93"/>
      <c r="M10" s="93"/>
      <c r="N10" s="94"/>
      <c r="O10" s="94"/>
      <c r="P10" s="93"/>
    </row>
    <row r="11" spans="3:19" ht="18.75" x14ac:dyDescent="0.25">
      <c r="C11" s="85"/>
      <c r="D11" s="92"/>
      <c r="E11" s="90"/>
      <c r="F11" s="90"/>
      <c r="G11" s="539" t="s">
        <v>105</v>
      </c>
      <c r="H11" s="539"/>
      <c r="I11" s="539"/>
      <c r="J11" s="539"/>
      <c r="K11" s="539"/>
      <c r="L11" s="90"/>
      <c r="M11" s="90"/>
      <c r="N11" s="89"/>
      <c r="O11" s="89"/>
      <c r="P11" s="90"/>
    </row>
    <row r="12" spans="3:19" s="95" customFormat="1" ht="18.75" x14ac:dyDescent="0.25">
      <c r="C12" s="91"/>
      <c r="D12" s="91"/>
      <c r="E12" s="93"/>
      <c r="F12" s="93"/>
      <c r="G12" s="93"/>
      <c r="H12" s="93"/>
      <c r="I12" s="93"/>
      <c r="J12" s="93"/>
      <c r="K12" s="93"/>
      <c r="L12" s="93"/>
      <c r="M12" s="93"/>
      <c r="N12" s="94"/>
      <c r="O12" s="94"/>
      <c r="P12" s="93"/>
    </row>
    <row r="13" spans="3:19" s="95" customFormat="1" ht="18.75" x14ac:dyDescent="0.25">
      <c r="C13" s="91"/>
      <c r="D13" s="91"/>
      <c r="E13" s="93"/>
      <c r="F13" s="93"/>
      <c r="G13" s="93"/>
      <c r="H13" s="93"/>
      <c r="I13" s="93"/>
      <c r="J13" s="93"/>
      <c r="K13" s="93"/>
      <c r="L13" s="93"/>
      <c r="M13" s="93"/>
      <c r="N13" s="94"/>
      <c r="O13" s="94"/>
      <c r="P13" s="93"/>
      <c r="S13" s="81"/>
    </row>
    <row r="14" spans="3:19" ht="18" x14ac:dyDescent="0.25">
      <c r="C14" s="85"/>
      <c r="D14" s="252"/>
      <c r="E14" s="550" t="s">
        <v>144</v>
      </c>
      <c r="F14" s="550"/>
      <c r="G14" s="550"/>
      <c r="H14" s="550"/>
      <c r="I14" s="550"/>
      <c r="J14" s="550"/>
      <c r="K14" s="550"/>
      <c r="L14" s="550"/>
      <c r="M14" s="90"/>
      <c r="N14" s="89"/>
      <c r="O14" s="89"/>
      <c r="P14" s="90"/>
      <c r="S14" s="81"/>
    </row>
    <row r="15" spans="3:19" ht="18" x14ac:dyDescent="0.25">
      <c r="C15" s="85"/>
      <c r="D15" s="252"/>
      <c r="E15" s="538" t="s">
        <v>145</v>
      </c>
      <c r="F15" s="538"/>
      <c r="G15" s="538"/>
      <c r="H15" s="538"/>
      <c r="I15" s="538"/>
      <c r="J15" s="538"/>
      <c r="K15" s="538"/>
      <c r="L15" s="538"/>
      <c r="M15" s="90"/>
      <c r="N15" s="89"/>
      <c r="O15" s="89"/>
      <c r="P15" s="90"/>
      <c r="S15" s="81"/>
    </row>
    <row r="16" spans="3:19" ht="18" x14ac:dyDescent="0.25">
      <c r="C16" s="85"/>
      <c r="D16" s="252"/>
      <c r="E16" s="538"/>
      <c r="F16" s="538"/>
      <c r="G16" s="538"/>
      <c r="H16" s="538"/>
      <c r="I16" s="538"/>
      <c r="J16" s="538"/>
      <c r="K16" s="538"/>
      <c r="L16" s="538"/>
      <c r="M16" s="90"/>
      <c r="N16" s="89"/>
      <c r="O16" s="89"/>
      <c r="P16" s="90"/>
      <c r="S16" s="81"/>
    </row>
    <row r="17" spans="3:19" ht="18.75" x14ac:dyDescent="0.25">
      <c r="C17" s="85"/>
      <c r="D17" s="92"/>
      <c r="E17" s="96"/>
      <c r="F17" s="90"/>
      <c r="G17" s="90"/>
      <c r="H17" s="90"/>
      <c r="I17" s="90"/>
      <c r="J17" s="90"/>
      <c r="K17" s="90"/>
      <c r="L17" s="90"/>
      <c r="M17" s="90"/>
      <c r="N17" s="89"/>
      <c r="O17" s="89"/>
      <c r="P17" s="90"/>
      <c r="S17" s="81"/>
    </row>
    <row r="18" spans="3:19" ht="18.75" x14ac:dyDescent="0.25">
      <c r="C18" s="85"/>
      <c r="D18" s="92"/>
      <c r="E18" s="96"/>
      <c r="F18" s="90"/>
      <c r="G18" s="90"/>
      <c r="H18" s="90"/>
      <c r="I18" s="90"/>
      <c r="J18" s="90"/>
      <c r="K18" s="90"/>
      <c r="L18" s="90"/>
      <c r="M18" s="90"/>
      <c r="N18" s="89"/>
      <c r="O18" s="89"/>
      <c r="P18" s="90"/>
      <c r="S18" s="81"/>
    </row>
    <row r="19" spans="3:19" s="95" customFormat="1" ht="18.75" x14ac:dyDescent="0.25">
      <c r="C19" s="91"/>
      <c r="D19" s="91"/>
      <c r="E19" s="253" t="s">
        <v>139</v>
      </c>
      <c r="F19" s="254"/>
      <c r="G19" s="254"/>
      <c r="H19" s="254"/>
      <c r="I19" s="93"/>
      <c r="J19" s="97"/>
      <c r="K19" s="99"/>
      <c r="L19" s="99"/>
      <c r="M19" s="93"/>
      <c r="N19" s="94"/>
      <c r="O19" s="94"/>
    </row>
    <row r="20" spans="3:19" s="95" customFormat="1" ht="18.75" customHeight="1" x14ac:dyDescent="0.25">
      <c r="C20" s="91"/>
      <c r="D20" s="91"/>
      <c r="E20" s="535" t="s">
        <v>175</v>
      </c>
      <c r="F20" s="535"/>
      <c r="G20" s="535"/>
      <c r="H20" s="535"/>
      <c r="I20" s="535"/>
      <c r="J20" s="535"/>
      <c r="K20" s="535"/>
      <c r="L20" s="535"/>
      <c r="M20" s="535"/>
      <c r="N20" s="94"/>
      <c r="O20" s="94"/>
    </row>
    <row r="21" spans="3:19" s="95" customFormat="1" ht="18.75" x14ac:dyDescent="0.25">
      <c r="C21" s="91"/>
      <c r="D21" s="91"/>
      <c r="E21" s="535"/>
      <c r="F21" s="535"/>
      <c r="G21" s="535"/>
      <c r="H21" s="535"/>
      <c r="I21" s="535"/>
      <c r="J21" s="535"/>
      <c r="K21" s="535"/>
      <c r="L21" s="535"/>
      <c r="M21" s="535"/>
      <c r="N21" s="94"/>
      <c r="O21" s="94"/>
    </row>
    <row r="22" spans="3:19" s="95" customFormat="1" ht="18.75" x14ac:dyDescent="0.25">
      <c r="C22" s="91"/>
      <c r="D22" s="91"/>
      <c r="E22" s="535"/>
      <c r="F22" s="535"/>
      <c r="G22" s="535"/>
      <c r="H22" s="535"/>
      <c r="I22" s="535"/>
      <c r="J22" s="535"/>
      <c r="K22" s="535"/>
      <c r="L22" s="535"/>
      <c r="M22" s="535"/>
      <c r="N22" s="94"/>
      <c r="O22" s="94"/>
    </row>
    <row r="23" spans="3:19" s="95" customFormat="1" ht="18.75" x14ac:dyDescent="0.25">
      <c r="C23" s="91"/>
      <c r="D23" s="91"/>
      <c r="E23" s="535"/>
      <c r="F23" s="535"/>
      <c r="G23" s="535"/>
      <c r="H23" s="535"/>
      <c r="I23" s="535"/>
      <c r="J23" s="535"/>
      <c r="K23" s="535"/>
      <c r="L23" s="535"/>
      <c r="M23" s="535"/>
      <c r="N23" s="94"/>
      <c r="O23" s="94"/>
    </row>
    <row r="24" spans="3:19" s="95" customFormat="1" ht="18.75" x14ac:dyDescent="0.25">
      <c r="C24" s="91"/>
      <c r="D24" s="91"/>
      <c r="E24" s="96"/>
      <c r="F24" s="93"/>
      <c r="G24" s="93"/>
      <c r="H24" s="93"/>
      <c r="I24" s="93"/>
      <c r="J24" s="97"/>
      <c r="K24" s="99"/>
      <c r="L24" s="99"/>
      <c r="M24" s="93"/>
      <c r="N24" s="94"/>
      <c r="O24" s="94"/>
    </row>
    <row r="25" spans="3:19" s="95" customFormat="1" ht="18.75" x14ac:dyDescent="0.25">
      <c r="C25" s="91"/>
      <c r="D25" s="91"/>
      <c r="E25" s="253" t="s">
        <v>143</v>
      </c>
      <c r="F25" s="254"/>
      <c r="G25" s="254"/>
      <c r="H25" s="254"/>
      <c r="I25" s="93"/>
      <c r="J25" s="97"/>
      <c r="K25" s="99"/>
      <c r="L25" s="99"/>
      <c r="M25" s="93"/>
      <c r="N25" s="94"/>
      <c r="O25" s="94"/>
    </row>
    <row r="26" spans="3:19" s="95" customFormat="1" ht="18.75" x14ac:dyDescent="0.25">
      <c r="C26" s="91"/>
      <c r="D26" s="91"/>
      <c r="E26" s="535" t="s">
        <v>140</v>
      </c>
      <c r="F26" s="535"/>
      <c r="G26" s="535"/>
      <c r="H26" s="535"/>
      <c r="I26" s="535"/>
      <c r="J26" s="535"/>
      <c r="K26" s="535"/>
      <c r="L26" s="535"/>
      <c r="M26" s="535"/>
      <c r="N26" s="94"/>
      <c r="O26" s="94"/>
    </row>
    <row r="27" spans="3:19" s="95" customFormat="1" ht="18.75" x14ac:dyDescent="0.25">
      <c r="C27" s="91"/>
      <c r="D27" s="91"/>
      <c r="E27" s="535"/>
      <c r="F27" s="535"/>
      <c r="G27" s="535"/>
      <c r="H27" s="535"/>
      <c r="I27" s="535"/>
      <c r="J27" s="535"/>
      <c r="K27" s="535"/>
      <c r="L27" s="535"/>
      <c r="M27" s="535"/>
      <c r="N27" s="94"/>
      <c r="O27" s="94"/>
    </row>
    <row r="28" spans="3:19" s="95" customFormat="1" ht="18.75" x14ac:dyDescent="0.25">
      <c r="C28" s="91"/>
      <c r="D28" s="91"/>
      <c r="E28" s="536" t="s">
        <v>185</v>
      </c>
      <c r="F28" s="536"/>
      <c r="G28" s="536"/>
      <c r="H28" s="536"/>
      <c r="I28" s="536"/>
      <c r="J28" s="536"/>
      <c r="K28" s="536"/>
      <c r="L28" s="536"/>
      <c r="M28" s="536"/>
      <c r="N28" s="94"/>
      <c r="O28" s="94"/>
    </row>
    <row r="29" spans="3:19" s="95" customFormat="1" ht="18.75" x14ac:dyDescent="0.25">
      <c r="C29" s="91"/>
      <c r="D29" s="91"/>
      <c r="E29" s="536" t="s">
        <v>141</v>
      </c>
      <c r="F29" s="536"/>
      <c r="G29" s="536"/>
      <c r="H29" s="536"/>
      <c r="I29" s="536"/>
      <c r="J29" s="536"/>
      <c r="K29" s="536"/>
      <c r="L29" s="536"/>
      <c r="M29" s="536"/>
      <c r="N29" s="94"/>
      <c r="O29" s="94"/>
    </row>
    <row r="30" spans="3:19" s="95" customFormat="1" ht="18.75" x14ac:dyDescent="0.25">
      <c r="C30" s="91"/>
      <c r="D30" s="91"/>
      <c r="E30" s="536" t="s">
        <v>142</v>
      </c>
      <c r="F30" s="536"/>
      <c r="G30" s="536"/>
      <c r="H30" s="536"/>
      <c r="I30" s="536"/>
      <c r="J30" s="536"/>
      <c r="K30" s="536"/>
      <c r="L30" s="536"/>
      <c r="M30" s="536"/>
      <c r="N30" s="94"/>
      <c r="O30" s="94"/>
    </row>
    <row r="31" spans="3:19" s="95" customFormat="1" ht="18.75" x14ac:dyDescent="0.25">
      <c r="C31" s="91"/>
      <c r="D31" s="91"/>
      <c r="E31" s="537"/>
      <c r="F31" s="537"/>
      <c r="G31" s="537"/>
      <c r="H31" s="537"/>
      <c r="I31" s="537"/>
      <c r="J31" s="537"/>
      <c r="K31" s="537"/>
      <c r="L31" s="537"/>
      <c r="M31" s="537"/>
      <c r="N31" s="94"/>
      <c r="O31" s="94"/>
    </row>
    <row r="32" spans="3:19" s="95" customFormat="1" ht="18.75" customHeight="1" x14ac:dyDescent="0.25">
      <c r="C32" s="91"/>
      <c r="D32" s="91"/>
      <c r="E32" s="535" t="s">
        <v>164</v>
      </c>
      <c r="F32" s="535"/>
      <c r="G32" s="535"/>
      <c r="H32" s="535"/>
      <c r="I32" s="535"/>
      <c r="J32" s="535"/>
      <c r="K32" s="535"/>
      <c r="L32" s="535"/>
      <c r="M32" s="535"/>
      <c r="N32" s="94"/>
      <c r="O32" s="94"/>
    </row>
    <row r="33" spans="3:16" s="95" customFormat="1" ht="18.75" x14ac:dyDescent="0.25">
      <c r="C33" s="91"/>
      <c r="D33" s="91"/>
      <c r="E33" s="535"/>
      <c r="F33" s="535"/>
      <c r="G33" s="535"/>
      <c r="H33" s="535"/>
      <c r="I33" s="535"/>
      <c r="J33" s="535"/>
      <c r="K33" s="535"/>
      <c r="L33" s="535"/>
      <c r="M33" s="535"/>
      <c r="N33" s="94"/>
      <c r="O33" s="94"/>
    </row>
    <row r="34" spans="3:16" s="95" customFormat="1" ht="18.75" x14ac:dyDescent="0.25">
      <c r="C34" s="91"/>
      <c r="D34" s="91"/>
      <c r="E34" s="535"/>
      <c r="F34" s="535"/>
      <c r="G34" s="535"/>
      <c r="H34" s="535"/>
      <c r="I34" s="535"/>
      <c r="J34" s="535"/>
      <c r="K34" s="535"/>
      <c r="L34" s="535"/>
      <c r="M34" s="535"/>
      <c r="N34" s="94"/>
      <c r="O34" s="94"/>
    </row>
    <row r="35" spans="3:16" s="95" customFormat="1" ht="18.75" x14ac:dyDescent="0.25">
      <c r="C35" s="91"/>
      <c r="D35" s="91"/>
      <c r="E35" s="535"/>
      <c r="F35" s="535"/>
      <c r="G35" s="535"/>
      <c r="H35" s="535"/>
      <c r="I35" s="535"/>
      <c r="J35" s="535"/>
      <c r="K35" s="535"/>
      <c r="L35" s="535"/>
      <c r="M35" s="535"/>
      <c r="N35" s="94"/>
      <c r="O35" s="94"/>
      <c r="P35" s="77"/>
    </row>
    <row r="36" spans="3:16" ht="18.75" x14ac:dyDescent="0.25">
      <c r="C36" s="85"/>
      <c r="D36" s="82"/>
      <c r="E36" s="535"/>
      <c r="F36" s="535"/>
      <c r="G36" s="535"/>
      <c r="H36" s="535"/>
      <c r="I36" s="535"/>
      <c r="J36" s="535"/>
      <c r="K36" s="535"/>
      <c r="L36" s="535"/>
      <c r="M36" s="535"/>
      <c r="N36" s="94"/>
      <c r="O36" s="94"/>
      <c r="P36" s="95"/>
    </row>
    <row r="37" spans="3:16" s="95" customFormat="1" ht="18.75" x14ac:dyDescent="0.25">
      <c r="C37" s="98"/>
      <c r="D37" s="100"/>
      <c r="E37" s="535"/>
      <c r="F37" s="535"/>
      <c r="G37" s="535"/>
      <c r="H37" s="535"/>
      <c r="I37" s="535"/>
      <c r="J37" s="535"/>
      <c r="K37" s="535"/>
      <c r="L37" s="535"/>
      <c r="M37" s="535"/>
      <c r="N37" s="94"/>
      <c r="O37" s="94"/>
      <c r="P37" s="93"/>
    </row>
    <row r="38" spans="3:16" ht="16.5" x14ac:dyDescent="0.25">
      <c r="C38" s="101"/>
      <c r="D38" s="102"/>
      <c r="E38" s="81"/>
      <c r="F38" s="81"/>
      <c r="G38" s="81"/>
      <c r="H38" s="81"/>
      <c r="I38" s="81"/>
      <c r="J38" s="81"/>
      <c r="K38" s="81"/>
      <c r="L38" s="81"/>
      <c r="M38" s="81"/>
      <c r="N38" s="83"/>
      <c r="O38" s="83"/>
      <c r="P38" s="90"/>
    </row>
    <row r="39" spans="3:16" s="95" customFormat="1" ht="18.75" x14ac:dyDescent="0.25">
      <c r="C39" s="100"/>
      <c r="D39" s="91"/>
      <c r="E39" s="99"/>
      <c r="F39" s="93"/>
      <c r="G39" s="93"/>
      <c r="H39" s="93"/>
      <c r="I39" s="93"/>
      <c r="J39" s="93"/>
      <c r="K39" s="93"/>
      <c r="L39" s="93"/>
      <c r="M39" s="93"/>
      <c r="N39" s="94"/>
      <c r="O39" s="94"/>
      <c r="P39" s="93"/>
    </row>
    <row r="40" spans="3:16" s="95" customFormat="1" ht="18.75" x14ac:dyDescent="0.25">
      <c r="C40" s="91"/>
      <c r="D40" s="91"/>
      <c r="E40" s="99"/>
      <c r="F40" s="93"/>
      <c r="G40" s="93"/>
      <c r="H40" s="93"/>
      <c r="I40" s="93"/>
      <c r="J40" s="93"/>
      <c r="K40" s="93"/>
      <c r="L40" s="93"/>
      <c r="M40" s="93"/>
      <c r="N40" s="94"/>
      <c r="O40" s="94"/>
      <c r="P40" s="93"/>
    </row>
    <row r="41" spans="3:16" s="95" customFormat="1" ht="19.5" thickBot="1" x14ac:dyDescent="0.3">
      <c r="C41" s="91"/>
      <c r="D41" s="103"/>
      <c r="E41" s="104"/>
      <c r="F41" s="105"/>
      <c r="G41" s="105"/>
      <c r="H41" s="105"/>
      <c r="I41" s="105"/>
      <c r="J41" s="105"/>
      <c r="K41" s="105"/>
      <c r="L41" s="105"/>
      <c r="M41" s="105"/>
      <c r="N41" s="106"/>
      <c r="O41" s="94"/>
      <c r="P41" s="93"/>
    </row>
    <row r="42" spans="3:16" ht="15.75" thickBot="1" x14ac:dyDescent="0.3">
      <c r="C42" s="107"/>
      <c r="D42" s="108"/>
      <c r="E42" s="108"/>
      <c r="F42" s="108"/>
      <c r="G42" s="108"/>
      <c r="H42" s="108"/>
      <c r="I42" s="108"/>
      <c r="J42" s="108"/>
      <c r="K42" s="108"/>
      <c r="L42" s="108"/>
      <c r="M42" s="108"/>
      <c r="N42" s="108"/>
      <c r="O42" s="109"/>
      <c r="P42" s="90"/>
    </row>
  </sheetData>
  <mergeCells count="15">
    <mergeCell ref="G3:N3"/>
    <mergeCell ref="G4:N4"/>
    <mergeCell ref="G5:N5"/>
    <mergeCell ref="D3:F6"/>
    <mergeCell ref="E14:L14"/>
    <mergeCell ref="E15:L15"/>
    <mergeCell ref="E16:L16"/>
    <mergeCell ref="E20:M23"/>
    <mergeCell ref="G11:K11"/>
    <mergeCell ref="E26:M27"/>
    <mergeCell ref="E32:M37"/>
    <mergeCell ref="E28:M28"/>
    <mergeCell ref="E29:M29"/>
    <mergeCell ref="E30:M30"/>
    <mergeCell ref="E31:M31"/>
  </mergeCells>
  <printOptions horizontalCentered="1"/>
  <pageMargins left="0.39370078740157483" right="0.39370078740157483" top="0.74803149606299213" bottom="0.74803149606299213" header="0.31496062992125984" footer="0.31496062992125984"/>
  <pageSetup paperSize="9" scale="76" fitToHeight="0" orientation="portrait" r:id="rId1"/>
  <colBreaks count="1" manualBreakCount="1">
    <brk id="16" max="1048575" man="1"/>
  </colBreaks>
  <drawing r:id="rId2"/>
  <legacyDrawing r:id="rId3"/>
  <oleObjects>
    <mc:AlternateContent xmlns:mc="http://schemas.openxmlformats.org/markup-compatibility/2006">
      <mc:Choice Requires="x14">
        <oleObject progId="Equation.3" shapeId="7169" r:id="rId4">
          <objectPr defaultSize="0" autoFill="0" autoLine="0" autoPict="0" r:id="rId5">
            <anchor moveWithCells="1" sizeWithCells="1">
              <from>
                <xdr:col>8</xdr:col>
                <xdr:colOff>0</xdr:colOff>
                <xdr:row>38</xdr:row>
                <xdr:rowOff>0</xdr:rowOff>
              </from>
              <to>
                <xdr:col>8</xdr:col>
                <xdr:colOff>523875</xdr:colOff>
                <xdr:row>38</xdr:row>
                <xdr:rowOff>0</xdr:rowOff>
              </to>
            </anchor>
          </objectPr>
        </oleObject>
      </mc:Choice>
      <mc:Fallback>
        <oleObject progId="Equation.3" shapeId="7169" r:id="rId4"/>
      </mc:Fallback>
    </mc:AlternateContent>
    <mc:AlternateContent xmlns:mc="http://schemas.openxmlformats.org/markup-compatibility/2006">
      <mc:Choice Requires="x14">
        <oleObject progId="Equation.3" shapeId="7170" r:id="rId6">
          <objectPr defaultSize="0" autoFill="0" autoLine="0" autoPict="0" r:id="rId7">
            <anchor moveWithCells="1" sizeWithCells="1">
              <from>
                <xdr:col>8</xdr:col>
                <xdr:colOff>142875</xdr:colOff>
                <xdr:row>38</xdr:row>
                <xdr:rowOff>0</xdr:rowOff>
              </from>
              <to>
                <xdr:col>8</xdr:col>
                <xdr:colOff>428625</xdr:colOff>
                <xdr:row>38</xdr:row>
                <xdr:rowOff>0</xdr:rowOff>
              </to>
            </anchor>
          </objectPr>
        </oleObject>
      </mc:Choice>
      <mc:Fallback>
        <oleObject progId="Equation.3" shapeId="7170" r:id="rId6"/>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63"/>
  <sheetViews>
    <sheetView view="pageBreakPreview" zoomScale="80" zoomScaleNormal="85" zoomScaleSheetLayoutView="80" workbookViewId="0">
      <selection activeCell="R16" sqref="R16"/>
    </sheetView>
  </sheetViews>
  <sheetFormatPr baseColWidth="10" defaultColWidth="12.7109375" defaultRowHeight="14.25" x14ac:dyDescent="0.2"/>
  <cols>
    <col min="1" max="1" width="2.7109375" style="1" customWidth="1"/>
    <col min="2" max="2" width="2" style="1" customWidth="1"/>
    <col min="3" max="3" width="11.28515625" style="1" customWidth="1"/>
    <col min="4" max="4" width="17.85546875" style="1" customWidth="1"/>
    <col min="5" max="5" width="12" style="1" customWidth="1"/>
    <col min="6" max="6" width="12.140625" style="1" customWidth="1"/>
    <col min="7" max="7" width="3.28515625" style="1" customWidth="1"/>
    <col min="8" max="8" width="15" style="1" bestFit="1" customWidth="1"/>
    <col min="9" max="9" width="9.28515625" style="1" customWidth="1"/>
    <col min="10" max="10" width="13.28515625" style="1" customWidth="1"/>
    <col min="11" max="11" width="10.85546875" style="1" customWidth="1"/>
    <col min="12" max="12" width="12.42578125" style="1" customWidth="1"/>
    <col min="13" max="13" width="2.42578125" style="1" customWidth="1"/>
    <col min="14" max="14" width="2.7109375" style="1" customWidth="1"/>
    <col min="15" max="16384" width="12.7109375" style="1"/>
  </cols>
  <sheetData>
    <row r="1" spans="1:14" ht="15" thickBot="1" x14ac:dyDescent="0.25">
      <c r="A1" s="255"/>
      <c r="B1" s="255"/>
      <c r="C1" s="255"/>
      <c r="D1" s="255"/>
      <c r="E1" s="255"/>
      <c r="F1" s="255"/>
      <c r="G1" s="255"/>
      <c r="H1" s="255"/>
      <c r="I1" s="255"/>
      <c r="J1" s="255"/>
      <c r="K1" s="255"/>
      <c r="L1" s="255"/>
      <c r="M1" s="255"/>
      <c r="N1" s="255"/>
    </row>
    <row r="2" spans="1:14" ht="12" customHeight="1" x14ac:dyDescent="0.2">
      <c r="A2" s="255"/>
      <c r="B2" s="256"/>
      <c r="C2" s="257"/>
      <c r="D2" s="257"/>
      <c r="E2" s="257"/>
      <c r="F2" s="257"/>
      <c r="G2" s="257"/>
      <c r="H2" s="257"/>
      <c r="I2" s="257"/>
      <c r="J2" s="257"/>
      <c r="K2" s="257"/>
      <c r="L2" s="257"/>
      <c r="M2" s="258"/>
      <c r="N2" s="255"/>
    </row>
    <row r="3" spans="1:14" s="259" customFormat="1" ht="18.75" customHeight="1" x14ac:dyDescent="0.25">
      <c r="B3" s="397"/>
      <c r="C3" s="523"/>
      <c r="D3" s="523"/>
      <c r="E3" s="523"/>
      <c r="F3" s="551" t="s">
        <v>177</v>
      </c>
      <c r="G3" s="551"/>
      <c r="H3" s="551"/>
      <c r="I3" s="551"/>
      <c r="J3" s="551"/>
      <c r="K3" s="551"/>
      <c r="L3" s="551"/>
      <c r="M3" s="260"/>
    </row>
    <row r="4" spans="1:14" s="259" customFormat="1" ht="18.75" customHeight="1" x14ac:dyDescent="0.25">
      <c r="B4" s="397"/>
      <c r="C4" s="523"/>
      <c r="D4" s="523"/>
      <c r="E4" s="523"/>
      <c r="F4" s="552" t="s">
        <v>137</v>
      </c>
      <c r="G4" s="552"/>
      <c r="H4" s="552"/>
      <c r="I4" s="552"/>
      <c r="J4" s="552"/>
      <c r="K4" s="552"/>
      <c r="L4" s="552"/>
      <c r="M4" s="260"/>
    </row>
    <row r="5" spans="1:14" s="259" customFormat="1" ht="18.75" customHeight="1" x14ac:dyDescent="0.25">
      <c r="B5" s="397"/>
      <c r="C5" s="523"/>
      <c r="D5" s="523"/>
      <c r="E5" s="523"/>
      <c r="F5" s="552" t="s">
        <v>138</v>
      </c>
      <c r="G5" s="552"/>
      <c r="H5" s="552"/>
      <c r="I5" s="552"/>
      <c r="J5" s="552"/>
      <c r="K5" s="552"/>
      <c r="L5" s="552"/>
      <c r="M5" s="260"/>
    </row>
    <row r="6" spans="1:14" s="259" customFormat="1" ht="18.75" customHeight="1" x14ac:dyDescent="0.25">
      <c r="B6" s="397"/>
      <c r="C6" s="523"/>
      <c r="D6" s="523"/>
      <c r="E6" s="523"/>
      <c r="F6" s="523"/>
      <c r="G6" s="523"/>
      <c r="H6" s="523"/>
      <c r="I6" s="523"/>
      <c r="J6" s="523"/>
      <c r="K6" s="523"/>
      <c r="L6" s="523"/>
      <c r="M6" s="260"/>
    </row>
    <row r="7" spans="1:14" ht="6.75" customHeight="1" thickBot="1" x14ac:dyDescent="0.25">
      <c r="A7" s="255"/>
      <c r="B7" s="264"/>
      <c r="C7" s="265"/>
      <c r="D7" s="265"/>
      <c r="E7" s="265"/>
      <c r="F7" s="265"/>
      <c r="G7" s="265"/>
      <c r="H7" s="265"/>
      <c r="I7" s="265"/>
      <c r="J7" s="265"/>
      <c r="K7" s="265"/>
      <c r="L7" s="265"/>
      <c r="M7" s="266"/>
      <c r="N7" s="255"/>
    </row>
    <row r="8" spans="1:14" ht="41.25" customHeight="1" thickBot="1" x14ac:dyDescent="0.25">
      <c r="A8" s="255"/>
      <c r="B8" s="264"/>
      <c r="C8" s="267" t="s">
        <v>62</v>
      </c>
      <c r="D8" s="554" t="s">
        <v>63</v>
      </c>
      <c r="E8" s="554"/>
      <c r="F8" s="554"/>
      <c r="G8" s="555"/>
      <c r="H8" s="265"/>
      <c r="I8" s="268" t="s">
        <v>22</v>
      </c>
      <c r="J8" s="269">
        <v>1</v>
      </c>
      <c r="K8" s="270" t="s">
        <v>16</v>
      </c>
      <c r="L8" s="271">
        <v>2</v>
      </c>
      <c r="M8" s="266"/>
      <c r="N8" s="255"/>
    </row>
    <row r="9" spans="1:14" ht="10.5" customHeight="1" thickBot="1" x14ac:dyDescent="0.25">
      <c r="A9" s="255"/>
      <c r="B9" s="272"/>
      <c r="C9" s="273"/>
      <c r="D9" s="274"/>
      <c r="E9" s="275"/>
      <c r="F9" s="275"/>
      <c r="G9" s="275"/>
      <c r="H9" s="276"/>
      <c r="I9" s="273"/>
      <c r="J9" s="277"/>
      <c r="K9" s="273"/>
      <c r="L9" s="273"/>
      <c r="M9" s="278"/>
      <c r="N9" s="255"/>
    </row>
    <row r="10" spans="1:14" ht="10.5" customHeight="1" thickBot="1" x14ac:dyDescent="0.25">
      <c r="A10" s="255"/>
      <c r="B10" s="255"/>
      <c r="C10" s="265"/>
      <c r="D10" s="265"/>
      <c r="E10" s="265"/>
      <c r="F10" s="265"/>
      <c r="G10" s="265"/>
      <c r="H10" s="265"/>
      <c r="I10" s="265"/>
      <c r="J10" s="265"/>
      <c r="K10" s="265"/>
      <c r="L10" s="265"/>
      <c r="M10" s="255"/>
      <c r="N10" s="255"/>
    </row>
    <row r="11" spans="1:14" ht="10.5" customHeight="1" thickBot="1" x14ac:dyDescent="0.25">
      <c r="A11" s="255"/>
      <c r="B11" s="256"/>
      <c r="C11" s="279"/>
      <c r="D11" s="279"/>
      <c r="E11" s="279"/>
      <c r="F11" s="279"/>
      <c r="G11" s="279"/>
      <c r="H11" s="279"/>
      <c r="I11" s="279"/>
      <c r="J11" s="279"/>
      <c r="K11" s="279"/>
      <c r="L11" s="279"/>
      <c r="M11" s="258"/>
      <c r="N11" s="255"/>
    </row>
    <row r="12" spans="1:14" ht="30" customHeight="1" thickBot="1" x14ac:dyDescent="0.25">
      <c r="A12" s="255"/>
      <c r="B12" s="264"/>
      <c r="C12" s="556" t="s">
        <v>66</v>
      </c>
      <c r="D12" s="557"/>
      <c r="E12" s="557"/>
      <c r="F12" s="557"/>
      <c r="G12" s="557"/>
      <c r="H12" s="557"/>
      <c r="I12" s="557"/>
      <c r="J12" s="557"/>
      <c r="K12" s="557"/>
      <c r="L12" s="558"/>
      <c r="M12" s="266"/>
      <c r="N12" s="255"/>
    </row>
    <row r="13" spans="1:14" ht="8.1" customHeight="1" x14ac:dyDescent="0.2">
      <c r="A13" s="255"/>
      <c r="B13" s="264"/>
      <c r="C13" s="280"/>
      <c r="D13" s="280"/>
      <c r="E13" s="280"/>
      <c r="F13" s="280"/>
      <c r="G13" s="280"/>
      <c r="H13" s="280"/>
      <c r="I13" s="280"/>
      <c r="J13" s="280"/>
      <c r="K13" s="280"/>
      <c r="L13" s="280"/>
      <c r="M13" s="266"/>
      <c r="N13" s="255"/>
    </row>
    <row r="14" spans="1:14" ht="24" customHeight="1" x14ac:dyDescent="0.2">
      <c r="A14" s="255"/>
      <c r="B14" s="264"/>
      <c r="C14" s="280"/>
      <c r="D14" s="280"/>
      <c r="E14" s="280"/>
      <c r="F14" s="280"/>
      <c r="G14" s="280"/>
      <c r="H14" s="280"/>
      <c r="I14" s="280"/>
      <c r="J14" s="280"/>
      <c r="K14" s="280"/>
      <c r="L14" s="280"/>
      <c r="M14" s="266"/>
      <c r="N14" s="255"/>
    </row>
    <row r="15" spans="1:14" ht="12" customHeight="1" x14ac:dyDescent="0.2">
      <c r="A15" s="255"/>
      <c r="B15" s="264"/>
      <c r="C15" s="280"/>
      <c r="D15" s="280"/>
      <c r="E15" s="280"/>
      <c r="F15" s="280"/>
      <c r="G15" s="280"/>
      <c r="H15" s="280"/>
      <c r="I15" s="280"/>
      <c r="J15" s="280"/>
      <c r="K15" s="280"/>
      <c r="L15" s="280"/>
      <c r="M15" s="266"/>
      <c r="N15" s="255"/>
    </row>
    <row r="16" spans="1:14" ht="34.5" customHeight="1" x14ac:dyDescent="0.2">
      <c r="A16" s="255"/>
      <c r="B16" s="264"/>
      <c r="C16" s="255"/>
      <c r="D16" s="255"/>
      <c r="E16" s="255"/>
      <c r="F16" s="281" t="s">
        <v>99</v>
      </c>
      <c r="G16" s="282" t="s">
        <v>31</v>
      </c>
      <c r="H16" s="283" t="s">
        <v>131</v>
      </c>
      <c r="I16" s="282"/>
      <c r="J16" s="284"/>
      <c r="K16" s="255"/>
      <c r="L16" s="255"/>
      <c r="M16" s="266"/>
      <c r="N16" s="255"/>
    </row>
    <row r="17" spans="1:14" ht="8.1" customHeight="1" x14ac:dyDescent="0.25">
      <c r="A17" s="255"/>
      <c r="B17" s="264"/>
      <c r="C17" s="255"/>
      <c r="D17" s="255"/>
      <c r="E17" s="255"/>
      <c r="F17" s="285"/>
      <c r="G17" s="255"/>
      <c r="H17" s="255"/>
      <c r="I17" s="255"/>
      <c r="J17" s="284"/>
      <c r="K17" s="255"/>
      <c r="L17" s="255"/>
      <c r="M17" s="266"/>
      <c r="N17" s="255"/>
    </row>
    <row r="18" spans="1:14" ht="34.5" customHeight="1" x14ac:dyDescent="0.2">
      <c r="A18" s="255"/>
      <c r="B18" s="264"/>
      <c r="C18" s="255"/>
      <c r="D18" s="255"/>
      <c r="E18" s="255"/>
      <c r="F18" s="281" t="s">
        <v>134</v>
      </c>
      <c r="G18" s="282" t="s">
        <v>31</v>
      </c>
      <c r="H18" s="283">
        <f>1500*0.15</f>
        <v>225</v>
      </c>
      <c r="I18" s="282" t="s">
        <v>101</v>
      </c>
      <c r="J18" s="284"/>
      <c r="K18" s="255"/>
      <c r="L18" s="255"/>
      <c r="M18" s="266"/>
      <c r="N18" s="255"/>
    </row>
    <row r="19" spans="1:14" ht="8.1" customHeight="1" x14ac:dyDescent="0.25">
      <c r="A19" s="255"/>
      <c r="B19" s="264"/>
      <c r="C19" s="255"/>
      <c r="D19" s="255"/>
      <c r="E19" s="255"/>
      <c r="F19" s="285"/>
      <c r="G19" s="255"/>
      <c r="H19" s="255"/>
      <c r="I19" s="282"/>
      <c r="J19" s="284"/>
      <c r="K19" s="255"/>
      <c r="L19" s="255"/>
      <c r="M19" s="266"/>
      <c r="N19" s="255"/>
    </row>
    <row r="20" spans="1:14" ht="30" customHeight="1" x14ac:dyDescent="0.2">
      <c r="A20" s="255"/>
      <c r="B20" s="264"/>
      <c r="C20" s="255"/>
      <c r="D20" s="255"/>
      <c r="E20" s="255"/>
      <c r="F20" s="281" t="s">
        <v>176</v>
      </c>
      <c r="G20" s="282" t="s">
        <v>31</v>
      </c>
      <c r="H20" s="283">
        <v>0</v>
      </c>
      <c r="I20" s="282" t="s">
        <v>101</v>
      </c>
      <c r="J20" s="284"/>
      <c r="K20" s="255"/>
      <c r="L20" s="255"/>
      <c r="M20" s="266"/>
      <c r="N20" s="255"/>
    </row>
    <row r="21" spans="1:14" ht="8.1" customHeight="1" x14ac:dyDescent="0.2">
      <c r="A21" s="255"/>
      <c r="B21" s="264"/>
      <c r="C21" s="255"/>
      <c r="D21" s="255"/>
      <c r="E21" s="255"/>
      <c r="F21" s="281"/>
      <c r="G21" s="282"/>
      <c r="H21" s="282"/>
      <c r="I21" s="282"/>
      <c r="J21" s="284"/>
      <c r="K21" s="255"/>
      <c r="L21" s="255"/>
      <c r="M21" s="266"/>
      <c r="N21" s="255"/>
    </row>
    <row r="22" spans="1:14" ht="24.75" customHeight="1" x14ac:dyDescent="0.25">
      <c r="A22" s="255"/>
      <c r="B22" s="264"/>
      <c r="C22" s="255"/>
      <c r="D22" s="255"/>
      <c r="E22" s="255"/>
      <c r="F22" s="285" t="s">
        <v>104</v>
      </c>
      <c r="G22" s="282" t="s">
        <v>31</v>
      </c>
      <c r="H22" s="283">
        <v>60</v>
      </c>
      <c r="I22" s="282" t="s">
        <v>100</v>
      </c>
      <c r="J22" s="284"/>
      <c r="K22" s="255"/>
      <c r="L22" s="255"/>
      <c r="M22" s="266"/>
      <c r="N22" s="255"/>
    </row>
    <row r="23" spans="1:14" ht="15.6" customHeight="1" x14ac:dyDescent="0.25">
      <c r="A23" s="255"/>
      <c r="B23" s="264"/>
      <c r="C23" s="255"/>
      <c r="D23" s="255"/>
      <c r="E23" s="255"/>
      <c r="F23" s="285"/>
      <c r="G23" s="255"/>
      <c r="H23" s="255"/>
      <c r="I23" s="282"/>
      <c r="J23" s="284"/>
      <c r="K23" s="255"/>
      <c r="L23" s="255"/>
      <c r="M23" s="266"/>
      <c r="N23" s="255"/>
    </row>
    <row r="24" spans="1:14" ht="30" customHeight="1" x14ac:dyDescent="0.2">
      <c r="A24" s="255"/>
      <c r="B24" s="264"/>
      <c r="C24" s="255"/>
      <c r="D24" s="255"/>
      <c r="E24" s="255"/>
      <c r="F24" s="281" t="s">
        <v>64</v>
      </c>
      <c r="G24" s="282" t="s">
        <v>31</v>
      </c>
      <c r="H24" s="283">
        <f>+ROUNDUP(((H18)/15.852)*H22*60/1000,0)</f>
        <v>52</v>
      </c>
      <c r="I24" s="282" t="s">
        <v>146</v>
      </c>
      <c r="J24" s="255"/>
      <c r="K24" s="255"/>
      <c r="L24" s="255"/>
      <c r="M24" s="266"/>
      <c r="N24" s="255"/>
    </row>
    <row r="25" spans="1:14" ht="8.25" customHeight="1" x14ac:dyDescent="0.2">
      <c r="A25" s="255"/>
      <c r="B25" s="264"/>
      <c r="C25" s="255"/>
      <c r="D25" s="255"/>
      <c r="E25" s="255"/>
      <c r="F25" s="255"/>
      <c r="G25" s="286"/>
      <c r="H25" s="286"/>
      <c r="I25" s="286"/>
      <c r="J25" s="286"/>
      <c r="K25" s="255"/>
      <c r="L25" s="255"/>
      <c r="M25" s="266"/>
      <c r="N25" s="255"/>
    </row>
    <row r="26" spans="1:14" ht="30" customHeight="1" x14ac:dyDescent="0.2">
      <c r="A26" s="255"/>
      <c r="B26" s="264"/>
      <c r="C26" s="559" t="s">
        <v>178</v>
      </c>
      <c r="D26" s="559"/>
      <c r="E26" s="559"/>
      <c r="F26" s="559"/>
      <c r="G26" s="559"/>
      <c r="H26" s="559"/>
      <c r="I26" s="559"/>
      <c r="J26" s="559"/>
      <c r="K26" s="559"/>
      <c r="L26" s="559"/>
      <c r="M26" s="266"/>
      <c r="N26" s="255"/>
    </row>
    <row r="27" spans="1:14" ht="8.1" customHeight="1" x14ac:dyDescent="0.2">
      <c r="A27" s="255"/>
      <c r="B27" s="264"/>
      <c r="C27" s="559"/>
      <c r="D27" s="559"/>
      <c r="E27" s="559"/>
      <c r="F27" s="559"/>
      <c r="G27" s="559"/>
      <c r="H27" s="559"/>
      <c r="I27" s="559"/>
      <c r="J27" s="559"/>
      <c r="K27" s="559"/>
      <c r="L27" s="559"/>
      <c r="M27" s="266"/>
      <c r="N27" s="255"/>
    </row>
    <row r="28" spans="1:14" ht="30" customHeight="1" x14ac:dyDescent="0.2">
      <c r="A28" s="255"/>
      <c r="B28" s="264"/>
      <c r="C28" s="255"/>
      <c r="D28" s="287"/>
      <c r="E28" s="255"/>
      <c r="F28" s="255"/>
      <c r="G28" s="255"/>
      <c r="H28" s="255"/>
      <c r="I28" s="255"/>
      <c r="J28" s="255"/>
      <c r="K28" s="255"/>
      <c r="L28" s="255"/>
      <c r="M28" s="266"/>
      <c r="N28" s="255"/>
    </row>
    <row r="29" spans="1:14" ht="8.1" customHeight="1" thickBot="1" x14ac:dyDescent="0.25">
      <c r="A29" s="255"/>
      <c r="B29" s="272"/>
      <c r="C29" s="288"/>
      <c r="D29" s="288"/>
      <c r="E29" s="288"/>
      <c r="F29" s="288"/>
      <c r="G29" s="288"/>
      <c r="H29" s="288"/>
      <c r="I29" s="288"/>
      <c r="J29" s="288"/>
      <c r="K29" s="288"/>
      <c r="L29" s="288"/>
      <c r="M29" s="278"/>
      <c r="N29" s="255"/>
    </row>
    <row r="30" spans="1:14" ht="30" hidden="1" customHeight="1" thickBot="1" x14ac:dyDescent="0.25">
      <c r="A30" s="255"/>
      <c r="B30" s="255"/>
      <c r="C30" s="255"/>
      <c r="D30" s="255"/>
      <c r="E30" s="255"/>
      <c r="F30" s="255"/>
      <c r="G30" s="255"/>
      <c r="H30" s="255"/>
      <c r="I30" s="255"/>
      <c r="J30" s="255"/>
      <c r="K30" s="255"/>
      <c r="L30" s="255"/>
      <c r="M30" s="255"/>
      <c r="N30" s="255"/>
    </row>
    <row r="31" spans="1:14" ht="8.1" hidden="1" customHeight="1" x14ac:dyDescent="0.2">
      <c r="A31" s="255"/>
      <c r="B31" s="255"/>
      <c r="C31" s="255"/>
      <c r="D31" s="255"/>
      <c r="E31" s="255"/>
      <c r="F31" s="255"/>
      <c r="G31" s="255"/>
      <c r="H31" s="255"/>
      <c r="I31" s="255"/>
      <c r="J31" s="255"/>
      <c r="K31" s="255"/>
      <c r="L31" s="255"/>
      <c r="M31" s="255"/>
      <c r="N31" s="255"/>
    </row>
    <row r="32" spans="1:14" ht="15" customHeight="1" thickBot="1" x14ac:dyDescent="0.25">
      <c r="A32" s="255"/>
      <c r="B32" s="255"/>
      <c r="C32" s="255"/>
      <c r="D32" s="255"/>
      <c r="E32" s="255"/>
      <c r="F32" s="255"/>
      <c r="G32" s="255"/>
      <c r="H32" s="255"/>
      <c r="I32" s="255"/>
      <c r="J32" s="255"/>
      <c r="K32" s="255"/>
      <c r="L32" s="255"/>
      <c r="M32" s="255"/>
      <c r="N32" s="255"/>
    </row>
    <row r="33" spans="1:14" ht="18.75" customHeight="1" thickBot="1" x14ac:dyDescent="0.3">
      <c r="A33" s="255"/>
      <c r="B33" s="289" t="s">
        <v>65</v>
      </c>
      <c r="C33" s="290"/>
      <c r="D33" s="560" t="s">
        <v>179</v>
      </c>
      <c r="E33" s="560"/>
      <c r="F33" s="560"/>
      <c r="G33" s="561"/>
      <c r="H33" s="291" t="s">
        <v>24</v>
      </c>
      <c r="I33" s="562" t="s">
        <v>180</v>
      </c>
      <c r="J33" s="563"/>
      <c r="K33" s="563"/>
      <c r="L33" s="563"/>
      <c r="M33" s="564"/>
      <c r="N33" s="255"/>
    </row>
    <row r="34" spans="1:14" ht="15" customHeight="1" x14ac:dyDescent="0.2">
      <c r="A34" s="255"/>
      <c r="B34" s="255"/>
      <c r="C34" s="255"/>
      <c r="D34" s="255"/>
      <c r="E34" s="255"/>
      <c r="F34" s="255"/>
      <c r="G34" s="255"/>
      <c r="H34" s="255"/>
      <c r="I34" s="255"/>
      <c r="J34" s="255"/>
      <c r="K34" s="255"/>
      <c r="L34" s="255"/>
      <c r="M34" s="255"/>
      <c r="N34" s="255"/>
    </row>
    <row r="35" spans="1:14" ht="15" customHeight="1" x14ac:dyDescent="0.2"/>
    <row r="36" spans="1:14" ht="30" customHeight="1" x14ac:dyDescent="0.2">
      <c r="K36" s="292"/>
    </row>
    <row r="37" spans="1:14" ht="6.75" customHeight="1" x14ac:dyDescent="0.2">
      <c r="G37" s="293"/>
      <c r="H37" s="293"/>
      <c r="I37" s="293"/>
      <c r="J37" s="293"/>
    </row>
    <row r="38" spans="1:14" ht="30" customHeight="1" x14ac:dyDescent="0.2">
      <c r="C38" s="54"/>
      <c r="D38" s="50"/>
      <c r="E38" s="50"/>
      <c r="F38" s="50"/>
      <c r="G38" s="50"/>
      <c r="H38" s="50"/>
      <c r="I38" s="50"/>
      <c r="J38" s="294"/>
      <c r="K38" s="50"/>
      <c r="L38" s="50"/>
    </row>
    <row r="39" spans="1:14" ht="8.1" customHeight="1" x14ac:dyDescent="0.2">
      <c r="C39" s="54"/>
      <c r="D39" s="50"/>
      <c r="E39" s="50"/>
      <c r="F39" s="50"/>
      <c r="G39" s="50"/>
      <c r="H39" s="50"/>
      <c r="I39" s="50"/>
      <c r="J39" s="294"/>
      <c r="K39" s="50"/>
      <c r="L39" s="50"/>
    </row>
    <row r="40" spans="1:14" ht="30" customHeight="1" x14ac:dyDescent="0.2">
      <c r="E40" s="53"/>
      <c r="F40" s="49"/>
      <c r="G40" s="55"/>
      <c r="H40" s="49"/>
      <c r="I40" s="295"/>
      <c r="J40" s="296"/>
    </row>
    <row r="41" spans="1:14" ht="8.1" customHeight="1" x14ac:dyDescent="0.2">
      <c r="E41" s="53"/>
      <c r="F41" s="55"/>
      <c r="G41" s="55"/>
      <c r="H41" s="49"/>
      <c r="I41" s="49"/>
      <c r="J41" s="49"/>
    </row>
    <row r="42" spans="1:14" ht="30" customHeight="1" x14ac:dyDescent="0.2">
      <c r="G42" s="53"/>
      <c r="H42" s="49"/>
      <c r="I42" s="297"/>
      <c r="J42" s="298"/>
    </row>
    <row r="43" spans="1:14" ht="8.1" customHeight="1" x14ac:dyDescent="0.2"/>
    <row r="44" spans="1:14" ht="30" customHeight="1" x14ac:dyDescent="0.2">
      <c r="G44" s="53"/>
      <c r="H44" s="49"/>
      <c r="I44" s="49"/>
      <c r="J44" s="296"/>
    </row>
    <row r="45" spans="1:14" ht="8.1" customHeight="1" x14ac:dyDescent="0.2">
      <c r="G45" s="53"/>
      <c r="H45" s="49"/>
      <c r="I45" s="49"/>
      <c r="J45" s="296"/>
    </row>
    <row r="46" spans="1:14" ht="30" customHeight="1" x14ac:dyDescent="0.2">
      <c r="G46" s="53"/>
      <c r="H46" s="49"/>
      <c r="I46" s="49"/>
      <c r="J46" s="296"/>
    </row>
    <row r="47" spans="1:14" ht="8.1" customHeight="1" x14ac:dyDescent="0.2">
      <c r="G47" s="53"/>
      <c r="H47" s="49"/>
      <c r="I47" s="49"/>
      <c r="J47" s="296"/>
    </row>
    <row r="48" spans="1:14" ht="30" customHeight="1" x14ac:dyDescent="0.2">
      <c r="G48" s="53"/>
      <c r="H48" s="49"/>
      <c r="I48" s="52"/>
      <c r="J48" s="296"/>
    </row>
    <row r="49" spans="3:12" ht="8.1" customHeight="1" x14ac:dyDescent="0.2">
      <c r="G49" s="53"/>
      <c r="H49" s="49"/>
      <c r="I49" s="49"/>
      <c r="J49" s="296"/>
    </row>
    <row r="50" spans="3:12" ht="30" customHeight="1" x14ac:dyDescent="0.2">
      <c r="G50" s="53"/>
      <c r="H50" s="49"/>
      <c r="I50" s="49"/>
      <c r="J50" s="56"/>
    </row>
    <row r="51" spans="3:12" ht="30" customHeight="1" x14ac:dyDescent="0.2">
      <c r="C51" s="299"/>
      <c r="J51" s="293"/>
    </row>
    <row r="52" spans="3:12" ht="30" customHeight="1" x14ac:dyDescent="0.2">
      <c r="J52" s="293"/>
    </row>
    <row r="53" spans="3:12" ht="30" customHeight="1" x14ac:dyDescent="0.2">
      <c r="D53" s="293"/>
      <c r="E53" s="50"/>
      <c r="F53" s="50"/>
      <c r="G53" s="300"/>
      <c r="H53" s="49"/>
      <c r="I53" s="301"/>
      <c r="J53" s="49"/>
    </row>
    <row r="54" spans="3:12" ht="30" customHeight="1" x14ac:dyDescent="0.2">
      <c r="E54" s="50"/>
      <c r="F54" s="50"/>
      <c r="J54" s="49"/>
    </row>
    <row r="55" spans="3:12" ht="30" customHeight="1" x14ac:dyDescent="0.2">
      <c r="D55" s="53"/>
      <c r="E55" s="302"/>
      <c r="F55" s="49"/>
      <c r="G55" s="55"/>
      <c r="I55" s="303"/>
      <c r="J55" s="49"/>
    </row>
    <row r="56" spans="3:12" ht="8.1" customHeight="1" x14ac:dyDescent="0.2">
      <c r="J56" s="49"/>
    </row>
    <row r="57" spans="3:12" ht="30" customHeight="1" x14ac:dyDescent="0.2">
      <c r="G57" s="53"/>
      <c r="H57" s="49"/>
      <c r="I57" s="297"/>
      <c r="J57" s="49"/>
      <c r="K57" s="304"/>
    </row>
    <row r="58" spans="3:12" ht="8.1" customHeight="1" x14ac:dyDescent="0.2">
      <c r="J58" s="49"/>
    </row>
    <row r="59" spans="3:12" ht="30" hidden="1" customHeight="1" thickBot="1" x14ac:dyDescent="0.25">
      <c r="C59" s="53"/>
      <c r="D59" s="53"/>
      <c r="E59" s="53"/>
      <c r="F59" s="53"/>
      <c r="G59" s="53"/>
      <c r="H59" s="53"/>
      <c r="I59" s="53"/>
      <c r="J59" s="53"/>
      <c r="K59" s="53"/>
    </row>
    <row r="60" spans="3:12" ht="8.1" hidden="1" customHeight="1" x14ac:dyDescent="0.2">
      <c r="E60" s="49"/>
      <c r="F60" s="49"/>
      <c r="G60" s="49"/>
      <c r="H60" s="49"/>
      <c r="I60" s="297"/>
      <c r="J60" s="55"/>
      <c r="K60" s="293"/>
    </row>
    <row r="61" spans="3:12" ht="30" customHeight="1" x14ac:dyDescent="0.2">
      <c r="D61" s="57"/>
      <c r="E61" s="57"/>
      <c r="F61" s="57"/>
      <c r="G61" s="57"/>
      <c r="H61" s="553"/>
      <c r="I61" s="553"/>
      <c r="J61" s="51"/>
      <c r="K61" s="57"/>
      <c r="L61" s="57"/>
    </row>
    <row r="62" spans="3:12" s="22" customFormat="1" ht="12" customHeight="1" x14ac:dyDescent="0.2"/>
    <row r="63" spans="3:12" s="22" customFormat="1" x14ac:dyDescent="0.2"/>
    <row r="64" spans="3:12" s="305" customFormat="1" ht="15" x14ac:dyDescent="0.25"/>
    <row r="65" s="22" customFormat="1" x14ac:dyDescent="0.2"/>
    <row r="66" s="22" customFormat="1" x14ac:dyDescent="0.2"/>
    <row r="67" s="22" customFormat="1" x14ac:dyDescent="0.2"/>
    <row r="68" s="22" customFormat="1" x14ac:dyDescent="0.2"/>
    <row r="69" s="22" customFormat="1" x14ac:dyDescent="0.2"/>
    <row r="70" s="22" customFormat="1" x14ac:dyDescent="0.2"/>
    <row r="71" s="22" customFormat="1" x14ac:dyDescent="0.2"/>
    <row r="72" s="22" customFormat="1" x14ac:dyDescent="0.2"/>
    <row r="73" s="22" customFormat="1" x14ac:dyDescent="0.2"/>
    <row r="74" s="22" customFormat="1" x14ac:dyDescent="0.2"/>
    <row r="75" s="22" customFormat="1" x14ac:dyDescent="0.2"/>
    <row r="76" s="22" customFormat="1" x14ac:dyDescent="0.2"/>
    <row r="77" s="22" customFormat="1" x14ac:dyDescent="0.2"/>
    <row r="78" s="22" customFormat="1" x14ac:dyDescent="0.2"/>
    <row r="79" s="22" customFormat="1" x14ac:dyDescent="0.2"/>
    <row r="80" s="22" customFormat="1" x14ac:dyDescent="0.2"/>
    <row r="81" s="22" customFormat="1" x14ac:dyDescent="0.2"/>
    <row r="82" s="22" customFormat="1" x14ac:dyDescent="0.2"/>
    <row r="83" s="22" customFormat="1" x14ac:dyDescent="0.2"/>
    <row r="84" s="22" customFormat="1" x14ac:dyDescent="0.2"/>
    <row r="85" s="22" customFormat="1" x14ac:dyDescent="0.2"/>
    <row r="86" s="22" customFormat="1" x14ac:dyDescent="0.2"/>
    <row r="87" s="22" customFormat="1" x14ac:dyDescent="0.2"/>
    <row r="88" s="22" customFormat="1" x14ac:dyDescent="0.2"/>
    <row r="89" s="22" customFormat="1" x14ac:dyDescent="0.2"/>
    <row r="90" s="22" customFormat="1" x14ac:dyDescent="0.2"/>
    <row r="91" s="22" customFormat="1" x14ac:dyDescent="0.2"/>
    <row r="92" s="22" customFormat="1" x14ac:dyDescent="0.2"/>
    <row r="93" s="22" customFormat="1" x14ac:dyDescent="0.2"/>
    <row r="94" s="22" customFormat="1" x14ac:dyDescent="0.2"/>
    <row r="95" s="22" customFormat="1" x14ac:dyDescent="0.2"/>
    <row r="96" s="22" customFormat="1" x14ac:dyDescent="0.2"/>
    <row r="97" s="22" customFormat="1" x14ac:dyDescent="0.2"/>
    <row r="98" s="22" customFormat="1" x14ac:dyDescent="0.2"/>
    <row r="99" s="22" customFormat="1" x14ac:dyDescent="0.2"/>
    <row r="100" s="22" customFormat="1" x14ac:dyDescent="0.2"/>
    <row r="101" s="22" customFormat="1" x14ac:dyDescent="0.2"/>
    <row r="102" s="22" customFormat="1" x14ac:dyDescent="0.2"/>
    <row r="103" s="22" customFormat="1" x14ac:dyDescent="0.2"/>
    <row r="104" s="22" customFormat="1" x14ac:dyDescent="0.2"/>
    <row r="105" s="22" customFormat="1" x14ac:dyDescent="0.2"/>
    <row r="106" s="22" customFormat="1" x14ac:dyDescent="0.2"/>
    <row r="107" s="22" customFormat="1" x14ac:dyDescent="0.2"/>
    <row r="108" s="22" customFormat="1" x14ac:dyDescent="0.2"/>
    <row r="109" s="22" customFormat="1" x14ac:dyDescent="0.2"/>
    <row r="110" s="22" customFormat="1" x14ac:dyDescent="0.2"/>
    <row r="111" s="22" customFormat="1" x14ac:dyDescent="0.2"/>
    <row r="112" s="22" customFormat="1" ht="14.25" customHeight="1" x14ac:dyDescent="0.2"/>
    <row r="113" s="22" customFormat="1" x14ac:dyDescent="0.2"/>
    <row r="114" s="22" customFormat="1" ht="14.25" customHeight="1" x14ac:dyDescent="0.2"/>
    <row r="115" s="22" customFormat="1" ht="14.25" customHeight="1" x14ac:dyDescent="0.2"/>
    <row r="116" s="22" customFormat="1" ht="14.25" customHeight="1" x14ac:dyDescent="0.2"/>
    <row r="117" s="22" customFormat="1" ht="14.25" customHeight="1" x14ac:dyDescent="0.2"/>
    <row r="118" s="22" customFormat="1" ht="14.25" customHeight="1" x14ac:dyDescent="0.2"/>
    <row r="119" s="22" customFormat="1" x14ac:dyDescent="0.2"/>
    <row r="120" s="25" customFormat="1" ht="15" customHeight="1" x14ac:dyDescent="0.2"/>
    <row r="121" s="22" customFormat="1" ht="14.25" customHeight="1" x14ac:dyDescent="0.2"/>
    <row r="122" s="22" customFormat="1" ht="14.25" customHeight="1" x14ac:dyDescent="0.2"/>
    <row r="123" s="22" customFormat="1" ht="14.25" customHeight="1" x14ac:dyDescent="0.2"/>
    <row r="124" s="22" customFormat="1" ht="14.25" customHeight="1" x14ac:dyDescent="0.2"/>
    <row r="125" s="22" customFormat="1" ht="14.25" customHeight="1" x14ac:dyDescent="0.2"/>
    <row r="126" s="22" customFormat="1" ht="14.25" customHeight="1" x14ac:dyDescent="0.2"/>
    <row r="127" s="22" customFormat="1" x14ac:dyDescent="0.2"/>
    <row r="128" s="22" customFormat="1" x14ac:dyDescent="0.2"/>
    <row r="129" s="22" customFormat="1" x14ac:dyDescent="0.2"/>
    <row r="130" s="22" customFormat="1" x14ac:dyDescent="0.2"/>
    <row r="131" s="22" customFormat="1" x14ac:dyDescent="0.2"/>
    <row r="132" s="22" customFormat="1" x14ac:dyDescent="0.2"/>
    <row r="133" s="22" customFormat="1" x14ac:dyDescent="0.2"/>
    <row r="134" s="22" customFormat="1" x14ac:dyDescent="0.2"/>
    <row r="135" s="22" customFormat="1" x14ac:dyDescent="0.2"/>
    <row r="136" s="22" customFormat="1" x14ac:dyDescent="0.2"/>
    <row r="137" s="22" customFormat="1" x14ac:dyDescent="0.2"/>
    <row r="138" s="22" customFormat="1" x14ac:dyDescent="0.2"/>
    <row r="139" s="22" customFormat="1" x14ac:dyDescent="0.2"/>
    <row r="140" s="22" customFormat="1" x14ac:dyDescent="0.2"/>
    <row r="141" s="22" customFormat="1" x14ac:dyDescent="0.2"/>
    <row r="142" s="22" customFormat="1" x14ac:dyDescent="0.2"/>
    <row r="143" s="22" customFormat="1" x14ac:dyDescent="0.2"/>
    <row r="144" s="22" customFormat="1" x14ac:dyDescent="0.2"/>
    <row r="145" s="22" customFormat="1" x14ac:dyDescent="0.2"/>
    <row r="146" s="22" customFormat="1" x14ac:dyDescent="0.2"/>
    <row r="147" s="22" customFormat="1" x14ac:dyDescent="0.2"/>
    <row r="148" s="22" customFormat="1" x14ac:dyDescent="0.2"/>
    <row r="149" s="22" customFormat="1" x14ac:dyDescent="0.2"/>
    <row r="150" s="22" customFormat="1" x14ac:dyDescent="0.2"/>
    <row r="151" s="22" customFormat="1" x14ac:dyDescent="0.2"/>
    <row r="152" s="22" customFormat="1" x14ac:dyDescent="0.2"/>
    <row r="153" s="22" customFormat="1" x14ac:dyDescent="0.2"/>
    <row r="154" s="22" customFormat="1" x14ac:dyDescent="0.2"/>
    <row r="155" s="22" customFormat="1" x14ac:dyDescent="0.2"/>
    <row r="156" s="22" customFormat="1" x14ac:dyDescent="0.2"/>
    <row r="157" s="22" customFormat="1" x14ac:dyDescent="0.2"/>
    <row r="158" s="22" customFormat="1" x14ac:dyDescent="0.2"/>
    <row r="159" s="22" customFormat="1" x14ac:dyDescent="0.2"/>
    <row r="160" s="22" customFormat="1" x14ac:dyDescent="0.2"/>
    <row r="162" s="293" customFormat="1" ht="12.75" x14ac:dyDescent="0.2"/>
    <row r="163" s="8" customFormat="1" ht="15" x14ac:dyDescent="0.25"/>
  </sheetData>
  <mergeCells count="9">
    <mergeCell ref="F3:L3"/>
    <mergeCell ref="F4:L4"/>
    <mergeCell ref="F5:L5"/>
    <mergeCell ref="H61:I61"/>
    <mergeCell ref="D8:G8"/>
    <mergeCell ref="C12:L12"/>
    <mergeCell ref="C26:L27"/>
    <mergeCell ref="D33:G33"/>
    <mergeCell ref="I33:M33"/>
  </mergeCells>
  <printOptions horizontalCentered="1"/>
  <pageMargins left="0.39370078740157483" right="0.39370078740157483" top="0.74803149606299213" bottom="0.74803149606299213" header="0.31496062992125984" footer="0.31496062992125984"/>
  <pageSetup paperSize="9" scale="75"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99"/>
  <sheetViews>
    <sheetView tabSelected="1" view="pageBreakPreview" zoomScale="80" zoomScaleNormal="100" zoomScaleSheetLayoutView="80" workbookViewId="0">
      <selection activeCell="M64" sqref="M64"/>
    </sheetView>
  </sheetViews>
  <sheetFormatPr baseColWidth="10" defaultColWidth="12.7109375" defaultRowHeight="14.25" x14ac:dyDescent="0.2"/>
  <cols>
    <col min="1" max="1" width="1.28515625" style="255" customWidth="1"/>
    <col min="2" max="2" width="2.42578125" style="255" customWidth="1"/>
    <col min="3" max="3" width="5.42578125" style="7" customWidth="1"/>
    <col min="4" max="4" width="6.140625" style="7" customWidth="1"/>
    <col min="5" max="5" width="11.42578125" style="6" customWidth="1"/>
    <col min="6" max="6" width="12.7109375" style="6" customWidth="1"/>
    <col min="7" max="7" width="10.28515625" style="2" customWidth="1"/>
    <col min="8" max="9" width="12" style="5" customWidth="1"/>
    <col min="10" max="10" width="13.7109375" style="2" customWidth="1"/>
    <col min="11" max="11" width="9.7109375" style="4" customWidth="1"/>
    <col min="12" max="12" width="9.85546875" style="4" customWidth="1"/>
    <col min="13" max="13" width="11" style="2" customWidth="1"/>
    <col min="14" max="14" width="8" style="4" bestFit="1" customWidth="1"/>
    <col min="15" max="15" width="11.5703125" style="3" customWidth="1"/>
    <col min="16" max="16" width="10.85546875" style="2" customWidth="1"/>
    <col min="17" max="17" width="12.42578125" style="2" customWidth="1"/>
    <col min="18" max="18" width="3.28515625" style="313" customWidth="1"/>
    <col min="19" max="19" width="1.85546875" style="313" customWidth="1"/>
    <col min="20" max="20" width="2.42578125" style="1" customWidth="1"/>
    <col min="21" max="21" width="1.7109375" style="1" customWidth="1"/>
    <col min="22" max="22" width="12.7109375" style="511"/>
    <col min="23" max="30" width="0" style="1" hidden="1" customWidth="1"/>
    <col min="31" max="16384" width="12.7109375" style="1"/>
  </cols>
  <sheetData>
    <row r="1" spans="2:28" ht="15" thickBot="1" x14ac:dyDescent="0.25">
      <c r="B1" s="256"/>
      <c r="C1" s="316"/>
      <c r="D1" s="316"/>
      <c r="E1" s="317"/>
      <c r="F1" s="317"/>
      <c r="G1" s="318"/>
      <c r="H1" s="319"/>
      <c r="I1" s="319"/>
      <c r="J1" s="318"/>
      <c r="K1" s="320"/>
      <c r="L1" s="320"/>
      <c r="M1" s="318"/>
      <c r="N1" s="320"/>
      <c r="O1" s="321"/>
      <c r="P1" s="318"/>
      <c r="Q1" s="318"/>
      <c r="R1" s="322"/>
    </row>
    <row r="2" spans="2:28" ht="12" customHeight="1" x14ac:dyDescent="0.25">
      <c r="B2" s="264"/>
      <c r="C2" s="573"/>
      <c r="D2" s="574"/>
      <c r="E2" s="574"/>
      <c r="F2" s="574"/>
      <c r="G2" s="574"/>
      <c r="H2" s="319"/>
      <c r="I2" s="319"/>
      <c r="J2" s="318"/>
      <c r="K2" s="320"/>
      <c r="L2" s="320"/>
      <c r="M2" s="318"/>
      <c r="N2" s="320"/>
      <c r="O2" s="321"/>
      <c r="P2" s="318"/>
      <c r="Q2" s="322"/>
      <c r="R2" s="395"/>
      <c r="S2" s="398"/>
    </row>
    <row r="3" spans="2:28" s="259" customFormat="1" ht="18.75" customHeight="1" x14ac:dyDescent="0.25">
      <c r="B3" s="397"/>
      <c r="C3" s="575"/>
      <c r="D3" s="576"/>
      <c r="E3" s="576"/>
      <c r="F3" s="576"/>
      <c r="G3" s="576"/>
      <c r="H3" s="551" t="str">
        <f>+ÍNDICE!G3</f>
        <v>PROYECTO CABLE AEREO SAN CRISTOBAL</v>
      </c>
      <c r="I3" s="551"/>
      <c r="J3" s="551"/>
      <c r="K3" s="551"/>
      <c r="L3" s="551"/>
      <c r="M3" s="551"/>
      <c r="N3" s="551"/>
      <c r="O3" s="551"/>
      <c r="P3" s="551"/>
      <c r="Q3" s="579"/>
      <c r="R3" s="260"/>
      <c r="V3" s="512"/>
    </row>
    <row r="4" spans="2:28" s="259" customFormat="1" ht="18.75" customHeight="1" x14ac:dyDescent="0.25">
      <c r="B4" s="397"/>
      <c r="C4" s="575"/>
      <c r="D4" s="576"/>
      <c r="E4" s="576"/>
      <c r="F4" s="576"/>
      <c r="G4" s="576"/>
      <c r="H4" s="552" t="s">
        <v>137</v>
      </c>
      <c r="I4" s="552"/>
      <c r="J4" s="552"/>
      <c r="K4" s="552"/>
      <c r="L4" s="552"/>
      <c r="M4" s="552"/>
      <c r="N4" s="552"/>
      <c r="O4" s="552"/>
      <c r="P4" s="552"/>
      <c r="Q4" s="580"/>
      <c r="R4" s="260"/>
      <c r="V4" s="512"/>
    </row>
    <row r="5" spans="2:28" s="259" customFormat="1" ht="18.75" customHeight="1" x14ac:dyDescent="0.25">
      <c r="B5" s="397"/>
      <c r="C5" s="575"/>
      <c r="D5" s="576"/>
      <c r="E5" s="576"/>
      <c r="F5" s="576"/>
      <c r="G5" s="576"/>
      <c r="H5" s="552" t="s">
        <v>138</v>
      </c>
      <c r="I5" s="552"/>
      <c r="J5" s="552"/>
      <c r="K5" s="552"/>
      <c r="L5" s="552"/>
      <c r="M5" s="552"/>
      <c r="N5" s="552"/>
      <c r="O5" s="552"/>
      <c r="P5" s="552"/>
      <c r="Q5" s="580"/>
      <c r="R5" s="260"/>
      <c r="V5" s="512"/>
    </row>
    <row r="6" spans="2:28" s="259" customFormat="1" ht="18.75" customHeight="1" thickBot="1" x14ac:dyDescent="0.3">
      <c r="B6" s="397"/>
      <c r="C6" s="577"/>
      <c r="D6" s="578"/>
      <c r="E6" s="578"/>
      <c r="F6" s="578"/>
      <c r="G6" s="578"/>
      <c r="H6" s="262"/>
      <c r="I6" s="262"/>
      <c r="J6" s="261"/>
      <c r="K6" s="261"/>
      <c r="L6" s="261"/>
      <c r="M6" s="262"/>
      <c r="N6" s="262"/>
      <c r="O6" s="262"/>
      <c r="P6" s="262"/>
      <c r="Q6" s="396"/>
      <c r="R6" s="260"/>
      <c r="V6" s="512"/>
    </row>
    <row r="7" spans="2:28" ht="6.75" customHeight="1" thickBot="1" x14ac:dyDescent="0.25">
      <c r="B7" s="264"/>
      <c r="C7" s="323"/>
      <c r="D7" s="323"/>
      <c r="E7" s="324"/>
      <c r="F7" s="324"/>
      <c r="G7" s="325"/>
      <c r="H7" s="326"/>
      <c r="I7" s="326"/>
      <c r="J7" s="325"/>
      <c r="K7" s="327"/>
      <c r="L7" s="327"/>
      <c r="M7" s="325"/>
      <c r="N7" s="327"/>
      <c r="O7" s="328"/>
      <c r="P7" s="325"/>
      <c r="Q7" s="325"/>
      <c r="R7" s="329"/>
      <c r="S7" s="325"/>
    </row>
    <row r="8" spans="2:28" ht="41.25" customHeight="1" thickBot="1" x14ac:dyDescent="0.25">
      <c r="B8" s="264"/>
      <c r="C8" s="452" t="s">
        <v>23</v>
      </c>
      <c r="D8" s="453"/>
      <c r="E8" s="454"/>
      <c r="F8" s="455" t="s">
        <v>150</v>
      </c>
      <c r="G8" s="455"/>
      <c r="H8" s="456"/>
      <c r="I8" s="456"/>
      <c r="J8" s="457"/>
      <c r="K8" s="458"/>
      <c r="L8" s="458"/>
      <c r="M8" s="313"/>
      <c r="N8" s="337" t="s">
        <v>22</v>
      </c>
      <c r="O8" s="459">
        <f>+'VOL. TANQUE (UNICO)'!J8+1</f>
        <v>2</v>
      </c>
      <c r="P8" s="270" t="s">
        <v>16</v>
      </c>
      <c r="Q8" s="460">
        <v>2</v>
      </c>
      <c r="R8" s="339"/>
      <c r="S8" s="516"/>
    </row>
    <row r="9" spans="2:28" ht="10.5" customHeight="1" thickBot="1" x14ac:dyDescent="0.25">
      <c r="B9" s="264"/>
      <c r="C9" s="323"/>
      <c r="D9" s="323"/>
      <c r="E9" s="324"/>
      <c r="F9" s="324"/>
      <c r="G9" s="325"/>
      <c r="H9" s="326"/>
      <c r="I9" s="326"/>
      <c r="J9" s="325"/>
      <c r="K9" s="327"/>
      <c r="L9" s="327"/>
      <c r="M9" s="325"/>
      <c r="N9" s="327"/>
      <c r="O9" s="328"/>
      <c r="P9" s="325"/>
      <c r="Q9" s="325"/>
      <c r="R9" s="329"/>
      <c r="S9" s="325"/>
    </row>
    <row r="10" spans="2:28" ht="28.5" customHeight="1" thickBot="1" x14ac:dyDescent="0.25">
      <c r="B10" s="264"/>
      <c r="C10" s="461" t="s">
        <v>21</v>
      </c>
      <c r="D10" s="461"/>
      <c r="E10" s="581" t="s">
        <v>81</v>
      </c>
      <c r="F10" s="462" t="s">
        <v>20</v>
      </c>
      <c r="G10" s="462" t="s">
        <v>20</v>
      </c>
      <c r="H10" s="463" t="s">
        <v>90</v>
      </c>
      <c r="I10" s="464" t="s">
        <v>91</v>
      </c>
      <c r="J10" s="462" t="s">
        <v>19</v>
      </c>
      <c r="K10" s="465" t="s">
        <v>18</v>
      </c>
      <c r="L10" s="408"/>
      <c r="M10" s="466"/>
      <c r="N10" s="467"/>
      <c r="O10" s="468" t="s">
        <v>92</v>
      </c>
      <c r="P10" s="469" t="s">
        <v>93</v>
      </c>
      <c r="Q10" s="469" t="s">
        <v>96</v>
      </c>
      <c r="R10" s="349"/>
      <c r="S10" s="517"/>
      <c r="V10" s="520" t="s">
        <v>96</v>
      </c>
    </row>
    <row r="11" spans="2:28" ht="16.5" customHeight="1" thickBot="1" x14ac:dyDescent="0.25">
      <c r="B11" s="264"/>
      <c r="C11" s="470" t="s">
        <v>16</v>
      </c>
      <c r="D11" s="471" t="s">
        <v>15</v>
      </c>
      <c r="E11" s="582"/>
      <c r="F11" s="472" t="s">
        <v>106</v>
      </c>
      <c r="G11" s="472" t="s">
        <v>68</v>
      </c>
      <c r="H11" s="473" t="s">
        <v>13</v>
      </c>
      <c r="I11" s="473" t="s">
        <v>102</v>
      </c>
      <c r="J11" s="472" t="s">
        <v>11</v>
      </c>
      <c r="K11" s="474" t="s">
        <v>10</v>
      </c>
      <c r="L11" s="475" t="s">
        <v>9</v>
      </c>
      <c r="M11" s="474" t="s">
        <v>8</v>
      </c>
      <c r="N11" s="474" t="s">
        <v>7</v>
      </c>
      <c r="O11" s="476" t="s">
        <v>6</v>
      </c>
      <c r="P11" s="472" t="s">
        <v>5</v>
      </c>
      <c r="Q11" s="472" t="s">
        <v>4</v>
      </c>
      <c r="R11" s="358"/>
      <c r="S11" s="518"/>
      <c r="V11" s="521" t="s">
        <v>163</v>
      </c>
    </row>
    <row r="12" spans="2:28" ht="10.5" customHeight="1" thickBot="1" x14ac:dyDescent="0.3">
      <c r="B12" s="264"/>
      <c r="C12" s="359"/>
      <c r="D12" s="359"/>
      <c r="E12" s="360"/>
      <c r="F12" s="360"/>
      <c r="G12" s="361"/>
      <c r="H12" s="362"/>
      <c r="I12" s="362"/>
      <c r="J12" s="361"/>
      <c r="K12" s="361"/>
      <c r="L12" s="361"/>
      <c r="M12" s="361"/>
      <c r="N12" s="361"/>
      <c r="O12" s="363"/>
      <c r="P12" s="361"/>
      <c r="Q12" s="361"/>
      <c r="R12" s="364"/>
      <c r="S12" s="361"/>
    </row>
    <row r="13" spans="2:28" ht="19.149999999999999" customHeight="1" thickBot="1" x14ac:dyDescent="0.25">
      <c r="B13" s="264"/>
      <c r="C13" s="567" t="s">
        <v>186</v>
      </c>
      <c r="D13" s="568"/>
      <c r="E13" s="568"/>
      <c r="F13" s="568"/>
      <c r="G13" s="568"/>
      <c r="H13" s="568"/>
      <c r="I13" s="568"/>
      <c r="J13" s="568"/>
      <c r="K13" s="568"/>
      <c r="L13" s="568"/>
      <c r="M13" s="568"/>
      <c r="N13" s="568"/>
      <c r="O13" s="568"/>
      <c r="P13" s="568"/>
      <c r="Q13" s="569"/>
      <c r="R13" s="365"/>
      <c r="S13" s="519"/>
    </row>
    <row r="14" spans="2:28" ht="21.75" customHeight="1" x14ac:dyDescent="0.25">
      <c r="B14" s="264"/>
      <c r="C14" s="478"/>
      <c r="D14" s="479"/>
      <c r="E14" s="477"/>
      <c r="F14" s="477"/>
      <c r="G14" s="480"/>
      <c r="H14" s="481"/>
      <c r="I14" s="482" t="s">
        <v>12</v>
      </c>
      <c r="J14" s="480"/>
      <c r="K14" s="480"/>
      <c r="L14" s="480"/>
      <c r="M14" s="480"/>
      <c r="N14" s="483"/>
      <c r="O14" s="484"/>
      <c r="P14" s="485"/>
      <c r="Q14" s="486">
        <v>71</v>
      </c>
      <c r="R14" s="371"/>
      <c r="S14" s="434"/>
      <c r="V14" s="511">
        <f>+Q14*1.422</f>
        <v>100.96199999999999</v>
      </c>
      <c r="Z14" s="398"/>
      <c r="AA14" s="398" t="s">
        <v>165</v>
      </c>
      <c r="AB14" s="398"/>
    </row>
    <row r="15" spans="2:28" ht="21.75" customHeight="1" x14ac:dyDescent="0.25">
      <c r="B15" s="264"/>
      <c r="C15" s="478">
        <v>1</v>
      </c>
      <c r="D15" s="479">
        <f>+C15+1</f>
        <v>2</v>
      </c>
      <c r="E15" s="487" t="s">
        <v>2</v>
      </c>
      <c r="F15" s="488">
        <v>250</v>
      </c>
      <c r="G15" s="480">
        <f>+F15*0.06309</f>
        <v>15.772499999999999</v>
      </c>
      <c r="H15" s="489">
        <v>4</v>
      </c>
      <c r="I15" s="480">
        <f>IF(E15="AG-SCH40",VLOOKUP(H15,TABLAS!$B$32:$K$49,2),IF(E15="AG-SCH80",VLOOKUP(H15,TABLAS!$B$32:$K$49,3),IF(E15="CU-K",VLOOKUP(H15,TABLAS!$B$32:$K$49,4),IF(E15="CU-L",VLOOKUP(H15,TABLAS!$B$32:$K$49,5),IF(E15="CU-M",VLOOKUP(H15,TABLAS!$B$32:$K$49,6),IF(E15="PVCP",VLOOKUP(H15,TABLAS!$B$32:$K$49,7),IF(E15="CPVC",VLOOKUP(H15,TABLAS!$B$32:$K$49,8),"ERROR")))))))</f>
        <v>102.26039999999999</v>
      </c>
      <c r="J15" s="480">
        <f>(G15/1000)/(PI()*(I15/2/1000)^2)</f>
        <v>1.9204176127540302</v>
      </c>
      <c r="K15" s="490">
        <v>5.5</v>
      </c>
      <c r="L15" s="490">
        <v>0</v>
      </c>
      <c r="M15" s="480">
        <f>+(K15+L15)*0.25</f>
        <v>1.375</v>
      </c>
      <c r="N15" s="480">
        <f>SUM(K15:M15)</f>
        <v>6.875</v>
      </c>
      <c r="O15" s="484">
        <f>(G15/(280*(IF(E15="AG-SCH40",VLOOKUP(E15,TABLAS!$N$4:$O$12,2),IF(E15="AG-SCH80",VLOOKUP(E15,TABLAS!$N$4:$O$12,2),IF(E15="CU-K",VLOOKUP(E15,TABLAS!$N$4:$O$12,2),IF(E15="CU-L",VLOOKUP(E15,TABLAS!$N$4:$O$12,2),IF(E15="CU-M",VLOOKUP(E15,TABLAS!$N$4:$O$12,2),IF(E15="PVCP",VLOOKUP(E15,TABLAS!$N$4:$O$12,2),IF(E15="CPVC",VLOOKUP(E15,TABLAS!$N$4:$O$12,2),"ERROR"))))))))*(I15/1000)^2.63))^1.85</f>
        <v>4.5777972058591826E-2</v>
      </c>
      <c r="P15" s="480">
        <f>ROUND(N15*O15,2)</f>
        <v>0.31</v>
      </c>
      <c r="Q15" s="491">
        <f t="shared" ref="Q15:Q16" si="0">Q14+K15+P15</f>
        <v>76.81</v>
      </c>
      <c r="R15" s="371"/>
      <c r="S15" s="434"/>
      <c r="V15" s="511">
        <f t="shared" ref="V15:V25" si="1">+Q15*1.422</f>
        <v>109.22382</v>
      </c>
      <c r="W15" s="1" t="s">
        <v>151</v>
      </c>
      <c r="Z15" s="398" t="s">
        <v>166</v>
      </c>
      <c r="AA15" s="398">
        <v>31.86</v>
      </c>
      <c r="AB15" s="398"/>
    </row>
    <row r="16" spans="2:28" ht="21.75" customHeight="1" x14ac:dyDescent="0.25">
      <c r="B16" s="264"/>
      <c r="C16" s="478">
        <f>+D15</f>
        <v>2</v>
      </c>
      <c r="D16" s="479">
        <f>+C16+1</f>
        <v>3</v>
      </c>
      <c r="E16" s="487" t="s">
        <v>2</v>
      </c>
      <c r="F16" s="488">
        <v>500</v>
      </c>
      <c r="G16" s="480">
        <f t="shared" ref="G16:G37" si="2">+F16*0.06309</f>
        <v>31.544999999999998</v>
      </c>
      <c r="H16" s="489">
        <v>4</v>
      </c>
      <c r="I16" s="480">
        <f>IF(E16="AG-SCH40",VLOOKUP(H16,TABLAS!$B$32:$K$49,2),IF(E16="AG-SCH80",VLOOKUP(H16,TABLAS!$B$32:$K$49,3),IF(E16="CU-K",VLOOKUP(H16,TABLAS!$B$32:$K$49,4),IF(E16="CU-L",VLOOKUP(H16,TABLAS!$B$32:$K$49,5),IF(E16="CU-M",VLOOKUP(H16,TABLAS!$B$32:$K$49,6),IF(E16="PVCP",VLOOKUP(H16,TABLAS!$B$32:$K$49,7),IF(E16="CPVC",VLOOKUP(H16,TABLAS!$B$32:$K$49,8),"ERROR")))))))</f>
        <v>102.26039999999999</v>
      </c>
      <c r="J16" s="480">
        <f t="shared" ref="J16" si="3">(G16/1000)/(PI()*(I16/2/1000)^2)</f>
        <v>3.8408352255080604</v>
      </c>
      <c r="K16" s="490">
        <v>2.5</v>
      </c>
      <c r="L16" s="490">
        <v>60</v>
      </c>
      <c r="M16" s="480">
        <f>+(K16+L16)*0.25</f>
        <v>15.625</v>
      </c>
      <c r="N16" s="480">
        <f t="shared" ref="N16" si="4">SUM(K16:M16)</f>
        <v>78.125</v>
      </c>
      <c r="O16" s="484">
        <f>(G16/(280*(IF(E16="AG-SCH40",VLOOKUP(E16,TABLAS!$N$4:$O$12,2),IF(E16="AG-SCH80",VLOOKUP(E16,TABLAS!$N$4:$O$12,2),IF(E16="CU-K",VLOOKUP(E16,TABLAS!$N$4:$O$12,2),IF(E16="CU-L",VLOOKUP(E16,TABLAS!$N$4:$O$12,2),IF(E16="CU-M",VLOOKUP(E16,TABLAS!$N$4:$O$12,2),IF(E16="PVCP",VLOOKUP(E16,TABLAS!$N$4:$O$12,2),IF(E16="CPVC",VLOOKUP(E16,TABLAS!$N$4:$O$12,2),"ERROR"))))))))*(I16/1000)^2.63))^1.85</f>
        <v>0.16502967398076621</v>
      </c>
      <c r="P16" s="480">
        <f t="shared" ref="P16" si="5">ROUND(N16*O16,2)</f>
        <v>12.89</v>
      </c>
      <c r="Q16" s="491">
        <f t="shared" si="0"/>
        <v>92.2</v>
      </c>
      <c r="R16" s="371"/>
      <c r="S16" s="434"/>
      <c r="V16" s="511">
        <f t="shared" si="1"/>
        <v>131.10839999999999</v>
      </c>
      <c r="W16" s="1" t="s">
        <v>152</v>
      </c>
      <c r="Z16" s="398" t="s">
        <v>167</v>
      </c>
      <c r="AA16" s="398">
        <v>27.9</v>
      </c>
      <c r="AB16" s="398">
        <f>+AA15-AA16</f>
        <v>3.9600000000000009</v>
      </c>
    </row>
    <row r="17" spans="2:30" ht="21.75" hidden="1" customHeight="1" x14ac:dyDescent="0.25">
      <c r="B17" s="264"/>
      <c r="C17" s="478"/>
      <c r="D17" s="479"/>
      <c r="E17" s="487"/>
      <c r="F17" s="488"/>
      <c r="G17" s="480"/>
      <c r="H17" s="489"/>
      <c r="I17" s="480"/>
      <c r="J17" s="480"/>
      <c r="K17" s="490"/>
      <c r="L17" s="490" t="s">
        <v>183</v>
      </c>
      <c r="M17" s="480"/>
      <c r="N17" s="480"/>
      <c r="O17" s="484"/>
      <c r="P17" s="480"/>
      <c r="Q17" s="491"/>
      <c r="R17" s="371"/>
      <c r="S17" s="434"/>
      <c r="V17" s="511">
        <f t="shared" si="1"/>
        <v>0</v>
      </c>
      <c r="W17" s="1" t="s">
        <v>153</v>
      </c>
      <c r="Z17" s="398" t="s">
        <v>168</v>
      </c>
      <c r="AA17" s="398">
        <v>23.94</v>
      </c>
      <c r="AB17" s="398">
        <f t="shared" ref="AB17:AB24" si="6">+AA16-AA17</f>
        <v>3.9599999999999973</v>
      </c>
    </row>
    <row r="18" spans="2:30" ht="21.75" hidden="1" customHeight="1" x14ac:dyDescent="0.25">
      <c r="B18" s="264"/>
      <c r="C18" s="478"/>
      <c r="D18" s="479"/>
      <c r="E18" s="487"/>
      <c r="F18" s="488"/>
      <c r="G18" s="480"/>
      <c r="H18" s="489"/>
      <c r="I18" s="480"/>
      <c r="J18" s="480"/>
      <c r="K18" s="490"/>
      <c r="L18" s="490"/>
      <c r="M18" s="480"/>
      <c r="N18" s="480"/>
      <c r="O18" s="484"/>
      <c r="P18" s="480"/>
      <c r="Q18" s="491"/>
      <c r="R18" s="371"/>
      <c r="S18" s="434"/>
      <c r="V18" s="511">
        <f t="shared" ref="V18" si="7">+Q18*1.422</f>
        <v>0</v>
      </c>
      <c r="W18" s="1" t="s">
        <v>154</v>
      </c>
      <c r="Z18" s="398" t="s">
        <v>169</v>
      </c>
      <c r="AA18" s="398">
        <v>20.52</v>
      </c>
      <c r="AB18" s="398">
        <f t="shared" si="6"/>
        <v>3.4200000000000017</v>
      </c>
    </row>
    <row r="19" spans="2:30" ht="21.75" hidden="1" customHeight="1" x14ac:dyDescent="0.25">
      <c r="B19" s="264"/>
      <c r="C19" s="478"/>
      <c r="D19" s="479"/>
      <c r="E19" s="487"/>
      <c r="F19" s="488"/>
      <c r="G19" s="480"/>
      <c r="H19" s="489"/>
      <c r="I19" s="480"/>
      <c r="J19" s="480"/>
      <c r="K19" s="490"/>
      <c r="L19" s="490"/>
      <c r="M19" s="480"/>
      <c r="N19" s="480"/>
      <c r="O19" s="484"/>
      <c r="P19" s="480"/>
      <c r="Q19" s="491"/>
      <c r="R19" s="371"/>
      <c r="S19" s="434"/>
      <c r="V19" s="511">
        <f t="shared" si="1"/>
        <v>0</v>
      </c>
      <c r="W19" s="1" t="s">
        <v>155</v>
      </c>
      <c r="Z19" s="398" t="s">
        <v>170</v>
      </c>
      <c r="AA19" s="398">
        <v>17.100000000000001</v>
      </c>
      <c r="AB19" s="398">
        <f t="shared" si="6"/>
        <v>3.4199999999999982</v>
      </c>
      <c r="AD19" s="1">
        <f>+AA16+6.48</f>
        <v>34.379999999999995</v>
      </c>
    </row>
    <row r="20" spans="2:30" ht="21.75" hidden="1" customHeight="1" x14ac:dyDescent="0.25">
      <c r="B20" s="264"/>
      <c r="C20" s="478"/>
      <c r="D20" s="479"/>
      <c r="E20" s="487"/>
      <c r="F20" s="488"/>
      <c r="G20" s="480"/>
      <c r="H20" s="489"/>
      <c r="I20" s="480"/>
      <c r="J20" s="480"/>
      <c r="K20" s="490"/>
      <c r="L20" s="490"/>
      <c r="M20" s="480"/>
      <c r="N20" s="480"/>
      <c r="O20" s="484"/>
      <c r="P20" s="480"/>
      <c r="Q20" s="491"/>
      <c r="R20" s="371"/>
      <c r="S20" s="434"/>
      <c r="V20" s="511">
        <f t="shared" ref="V20" si="8">+Q20*1.422</f>
        <v>0</v>
      </c>
      <c r="W20" s="1" t="s">
        <v>156</v>
      </c>
      <c r="Z20" s="398" t="s">
        <v>171</v>
      </c>
      <c r="AA20" s="398">
        <v>13.68</v>
      </c>
      <c r="AB20" s="398">
        <f t="shared" si="6"/>
        <v>3.4200000000000017</v>
      </c>
    </row>
    <row r="21" spans="2:30" ht="21.75" hidden="1" customHeight="1" x14ac:dyDescent="0.25">
      <c r="B21" s="264"/>
      <c r="C21" s="478"/>
      <c r="D21" s="479"/>
      <c r="E21" s="487"/>
      <c r="F21" s="488"/>
      <c r="G21" s="480"/>
      <c r="H21" s="489"/>
      <c r="I21" s="480"/>
      <c r="J21" s="480"/>
      <c r="K21" s="490"/>
      <c r="L21" s="490"/>
      <c r="M21" s="480"/>
      <c r="N21" s="480"/>
      <c r="O21" s="484"/>
      <c r="P21" s="480"/>
      <c r="Q21" s="491"/>
      <c r="R21" s="371"/>
      <c r="S21" s="434"/>
      <c r="V21" s="511">
        <f t="shared" si="1"/>
        <v>0</v>
      </c>
      <c r="W21" s="1" t="s">
        <v>157</v>
      </c>
      <c r="Z21" s="398" t="s">
        <v>172</v>
      </c>
      <c r="AA21" s="398">
        <v>10.26</v>
      </c>
      <c r="AB21" s="398">
        <f t="shared" si="6"/>
        <v>3.42</v>
      </c>
    </row>
    <row r="22" spans="2:30" ht="21.75" hidden="1" customHeight="1" x14ac:dyDescent="0.25">
      <c r="B22" s="264"/>
      <c r="C22" s="478"/>
      <c r="D22" s="479"/>
      <c r="E22" s="487"/>
      <c r="F22" s="488"/>
      <c r="G22" s="480"/>
      <c r="H22" s="489"/>
      <c r="I22" s="480"/>
      <c r="J22" s="480"/>
      <c r="K22" s="490"/>
      <c r="L22" s="490"/>
      <c r="M22" s="480"/>
      <c r="N22" s="480"/>
      <c r="O22" s="484"/>
      <c r="P22" s="480"/>
      <c r="Q22" s="491"/>
      <c r="R22" s="371"/>
      <c r="S22" s="434"/>
      <c r="V22" s="511">
        <f t="shared" ref="V22" si="9">+Q22*1.422</f>
        <v>0</v>
      </c>
      <c r="W22" s="1" t="s">
        <v>158</v>
      </c>
      <c r="Z22" s="398" t="s">
        <v>173</v>
      </c>
      <c r="AA22" s="398">
        <v>6.84</v>
      </c>
      <c r="AB22" s="398">
        <f t="shared" si="6"/>
        <v>3.42</v>
      </c>
    </row>
    <row r="23" spans="2:30" ht="21.75" hidden="1" customHeight="1" x14ac:dyDescent="0.25">
      <c r="B23" s="264"/>
      <c r="C23" s="478"/>
      <c r="D23" s="479"/>
      <c r="E23" s="487"/>
      <c r="F23" s="488"/>
      <c r="G23" s="480"/>
      <c r="H23" s="489"/>
      <c r="I23" s="480"/>
      <c r="J23" s="480"/>
      <c r="K23" s="490"/>
      <c r="L23" s="490"/>
      <c r="M23" s="480"/>
      <c r="N23" s="480"/>
      <c r="O23" s="484"/>
      <c r="P23" s="480"/>
      <c r="Q23" s="491"/>
      <c r="R23" s="371"/>
      <c r="S23" s="434"/>
      <c r="V23" s="511">
        <f t="shared" si="1"/>
        <v>0</v>
      </c>
      <c r="W23" s="1" t="s">
        <v>159</v>
      </c>
      <c r="Z23" s="398" t="s">
        <v>174</v>
      </c>
      <c r="AA23" s="398">
        <v>3.42</v>
      </c>
      <c r="AB23" s="398">
        <f t="shared" si="6"/>
        <v>3.42</v>
      </c>
    </row>
    <row r="24" spans="2:30" ht="21.75" hidden="1" customHeight="1" x14ac:dyDescent="0.25">
      <c r="B24" s="264"/>
      <c r="C24" s="478"/>
      <c r="D24" s="479"/>
      <c r="E24" s="487"/>
      <c r="F24" s="488"/>
      <c r="G24" s="480"/>
      <c r="H24" s="489"/>
      <c r="I24" s="480"/>
      <c r="J24" s="480"/>
      <c r="K24" s="490"/>
      <c r="L24" s="490"/>
      <c r="M24" s="480"/>
      <c r="N24" s="480"/>
      <c r="O24" s="484"/>
      <c r="P24" s="480"/>
      <c r="Q24" s="491"/>
      <c r="R24" s="371"/>
      <c r="S24" s="434"/>
      <c r="V24" s="511">
        <f t="shared" ref="V24" si="10">+Q24*1.422</f>
        <v>0</v>
      </c>
      <c r="W24" s="1" t="s">
        <v>160</v>
      </c>
      <c r="Z24" s="398">
        <v>-1</v>
      </c>
      <c r="AA24" s="522">
        <v>0</v>
      </c>
      <c r="AB24" s="398">
        <f t="shared" si="6"/>
        <v>3.42</v>
      </c>
    </row>
    <row r="25" spans="2:30" ht="21.75" hidden="1" customHeight="1" x14ac:dyDescent="0.25">
      <c r="B25" s="264"/>
      <c r="C25" s="478"/>
      <c r="D25" s="479"/>
      <c r="E25" s="487"/>
      <c r="F25" s="488"/>
      <c r="G25" s="480"/>
      <c r="H25" s="489"/>
      <c r="I25" s="480"/>
      <c r="J25" s="480"/>
      <c r="K25" s="490"/>
      <c r="L25" s="490"/>
      <c r="M25" s="480"/>
      <c r="N25" s="480"/>
      <c r="O25" s="484"/>
      <c r="P25" s="480"/>
      <c r="Q25" s="491"/>
      <c r="R25" s="371"/>
      <c r="S25" s="434"/>
      <c r="V25" s="511">
        <f t="shared" si="1"/>
        <v>0</v>
      </c>
      <c r="W25" s="1" t="s">
        <v>161</v>
      </c>
      <c r="Z25" s="398">
        <v>-2</v>
      </c>
      <c r="AA25" s="398">
        <v>-3.24</v>
      </c>
      <c r="AB25" s="398">
        <v>3.24</v>
      </c>
    </row>
    <row r="26" spans="2:30" ht="21.75" hidden="1" customHeight="1" x14ac:dyDescent="0.25">
      <c r="B26" s="264"/>
      <c r="C26" s="478"/>
      <c r="D26" s="479"/>
      <c r="E26" s="487"/>
      <c r="F26" s="488"/>
      <c r="G26" s="480"/>
      <c r="H26" s="489"/>
      <c r="I26" s="480"/>
      <c r="J26" s="480"/>
      <c r="K26" s="490"/>
      <c r="L26" s="490"/>
      <c r="M26" s="480"/>
      <c r="N26" s="480"/>
      <c r="O26" s="484"/>
      <c r="P26" s="480"/>
      <c r="Q26" s="491"/>
      <c r="R26" s="371"/>
      <c r="S26" s="434"/>
      <c r="V26" s="511">
        <f t="shared" ref="V26" si="11">+Q26*1.422</f>
        <v>0</v>
      </c>
      <c r="W26" s="1" t="s">
        <v>162</v>
      </c>
      <c r="Z26" s="398">
        <v>-3</v>
      </c>
      <c r="AA26" s="398">
        <v>-6.48</v>
      </c>
      <c r="AB26" s="398">
        <f>+AA26-AA25</f>
        <v>-3.24</v>
      </c>
    </row>
    <row r="27" spans="2:30" ht="21.75" hidden="1" customHeight="1" x14ac:dyDescent="0.25">
      <c r="B27" s="264"/>
      <c r="C27" s="478"/>
      <c r="D27" s="479"/>
      <c r="E27" s="487"/>
      <c r="F27" s="488"/>
      <c r="G27" s="480"/>
      <c r="H27" s="489"/>
      <c r="I27" s="480"/>
      <c r="J27" s="480"/>
      <c r="K27" s="490"/>
      <c r="L27" s="490"/>
      <c r="M27" s="480"/>
      <c r="N27" s="480"/>
      <c r="O27" s="484"/>
      <c r="P27" s="480"/>
      <c r="Q27" s="491"/>
      <c r="R27" s="371"/>
      <c r="S27" s="434"/>
      <c r="V27" s="511">
        <f>+Q27*1.422</f>
        <v>0</v>
      </c>
      <c r="Z27" s="398"/>
      <c r="AA27" s="398"/>
      <c r="AB27" s="398"/>
    </row>
    <row r="28" spans="2:30" ht="21.75" customHeight="1" thickBot="1" x14ac:dyDescent="0.25">
      <c r="B28" s="264"/>
      <c r="C28" s="492"/>
      <c r="D28" s="493"/>
      <c r="E28" s="494"/>
      <c r="F28" s="502">
        <f>MAX(F15:F27)</f>
        <v>500</v>
      </c>
      <c r="G28" s="502">
        <f>MAX(G15:G27)</f>
        <v>31.544999999999998</v>
      </c>
      <c r="H28" s="495"/>
      <c r="I28" s="495"/>
      <c r="J28" s="496"/>
      <c r="K28" s="501">
        <f>SUM(K15:K27)</f>
        <v>8</v>
      </c>
      <c r="L28" s="497"/>
      <c r="M28" s="496"/>
      <c r="N28" s="501">
        <f>SUM(N15:N27)</f>
        <v>85</v>
      </c>
      <c r="O28" s="498"/>
      <c r="P28" s="500">
        <f>SUM(P15:P27)</f>
        <v>13.200000000000001</v>
      </c>
      <c r="Q28" s="499"/>
      <c r="R28" s="371"/>
      <c r="S28" s="434"/>
      <c r="V28" s="511">
        <f>+Q27*1.422</f>
        <v>0</v>
      </c>
      <c r="W28" s="1">
        <f>+V28-V27</f>
        <v>0</v>
      </c>
    </row>
    <row r="29" spans="2:30" ht="21.75" hidden="1" customHeight="1" thickBot="1" x14ac:dyDescent="0.25">
      <c r="B29" s="264"/>
      <c r="C29" s="570" t="s">
        <v>132</v>
      </c>
      <c r="D29" s="571"/>
      <c r="E29" s="571"/>
      <c r="F29" s="571"/>
      <c r="G29" s="571"/>
      <c r="H29" s="571"/>
      <c r="I29" s="571"/>
      <c r="J29" s="571"/>
      <c r="K29" s="571"/>
      <c r="L29" s="571"/>
      <c r="M29" s="571"/>
      <c r="N29" s="571"/>
      <c r="O29" s="571"/>
      <c r="P29" s="571"/>
      <c r="Q29" s="572"/>
      <c r="R29" s="371"/>
      <c r="S29" s="434"/>
    </row>
    <row r="30" spans="2:30" ht="21.75" hidden="1" customHeight="1" thickBot="1" x14ac:dyDescent="0.25">
      <c r="B30" s="264"/>
      <c r="C30" s="44"/>
      <c r="D30" s="43"/>
      <c r="E30" s="43"/>
      <c r="F30" s="73"/>
      <c r="G30" s="40"/>
      <c r="H30" s="74"/>
      <c r="I30" s="45" t="s">
        <v>12</v>
      </c>
      <c r="J30" s="40"/>
      <c r="K30" s="75"/>
      <c r="L30" s="75"/>
      <c r="M30" s="40"/>
      <c r="N30" s="40"/>
      <c r="O30" s="41"/>
      <c r="P30" s="40"/>
      <c r="Q30" s="76">
        <v>71</v>
      </c>
      <c r="R30" s="365"/>
      <c r="S30" s="519"/>
    </row>
    <row r="31" spans="2:30" ht="21.75" hidden="1" customHeight="1" x14ac:dyDescent="0.2">
      <c r="B31" s="366"/>
      <c r="C31" s="242">
        <v>1</v>
      </c>
      <c r="D31" s="243">
        <f>+C31+1</f>
        <v>2</v>
      </c>
      <c r="E31" s="43" t="s">
        <v>2</v>
      </c>
      <c r="F31" s="73">
        <v>250</v>
      </c>
      <c r="G31" s="40">
        <f>+F31*0.06309</f>
        <v>15.772499999999999</v>
      </c>
      <c r="H31" s="74">
        <v>4</v>
      </c>
      <c r="I31" s="40">
        <f>IF(E31="AG-SCH40",VLOOKUP(H31,TABLAS!$B$32:$K$49,2),IF(E31="AG-SCH80",VLOOKUP(H31,TABLAS!$B$32:$K$49,3),IF(E31="CU-K",VLOOKUP(H31,TABLAS!$B$32:$K$49,4),IF(E31="CU-L",VLOOKUP(H31,TABLAS!$B$32:$K$49,5),IF(E31="CU-M",VLOOKUP(H31,TABLAS!$B$32:$K$49,6),IF(E31="PVCP",VLOOKUP(H31,TABLAS!$B$32:$K$49,7),IF(E31="CPVC",VLOOKUP(H31,TABLAS!$B$32:$K$49,8),"ERROR")))))))</f>
        <v>102.26039999999999</v>
      </c>
      <c r="J31" s="40">
        <f>(G31/1000)/(PI()*(I31/2/1000)^2)</f>
        <v>1.9204176127540302</v>
      </c>
      <c r="K31" s="75">
        <v>2.5499999999999998</v>
      </c>
      <c r="L31" s="75">
        <v>0</v>
      </c>
      <c r="M31" s="40">
        <f>+(K31+L31)*0.25</f>
        <v>0.63749999999999996</v>
      </c>
      <c r="N31" s="40">
        <f>SUM(K31:M31)</f>
        <v>3.1875</v>
      </c>
      <c r="O31" s="41">
        <f>(G31/(280*(IF(E31="AG-SCH40",VLOOKUP(E31,TABLAS!$N$4:$O$12,2),IF(E31="AG-SCH80",VLOOKUP(E31,TABLAS!$N$4:$O$12,2),IF(E31="CU-K",VLOOKUP(E31,TABLAS!$N$4:$O$12,2),IF(E31="CU-L",VLOOKUP(E31,TABLAS!$N$4:$O$12,2),IF(E31="CU-M",VLOOKUP(E31,TABLAS!$N$4:$O$12,2),IF(E31="PVCP",VLOOKUP(E31,TABLAS!$N$4:$O$12,2),IF(E31="CPVC",VLOOKUP(E31,TABLAS!$N$4:$O$12,2),"ERROR"))))))))*(I31/1000)^2.63))^1.85</f>
        <v>4.5777972058591826E-2</v>
      </c>
      <c r="P31" s="40">
        <f>ROUND(N31*O31,2)</f>
        <v>0.15</v>
      </c>
      <c r="Q31" s="39">
        <f t="shared" ref="Q31:Q36" si="12">Q30+K31+P31</f>
        <v>73.7</v>
      </c>
      <c r="R31" s="371"/>
      <c r="S31" s="434"/>
      <c r="V31" s="511">
        <f t="shared" ref="V31:V38" si="13">+Q30*1.422</f>
        <v>100.96199999999999</v>
      </c>
    </row>
    <row r="32" spans="2:30" ht="21.75" hidden="1" customHeight="1" x14ac:dyDescent="0.2">
      <c r="B32" s="366"/>
      <c r="C32" s="242">
        <f>+D31</f>
        <v>2</v>
      </c>
      <c r="D32" s="243">
        <f>+C32+1</f>
        <v>3</v>
      </c>
      <c r="E32" s="43" t="s">
        <v>2</v>
      </c>
      <c r="F32" s="73">
        <v>500</v>
      </c>
      <c r="G32" s="40">
        <f t="shared" ref="G32:G36" si="14">+F32*0.06309</f>
        <v>31.544999999999998</v>
      </c>
      <c r="H32" s="74">
        <v>4</v>
      </c>
      <c r="I32" s="40">
        <f>IF(E32="AG-SCH40",VLOOKUP(H32,TABLAS!$B$32:$K$49,2),IF(E32="AG-SCH80",VLOOKUP(H32,TABLAS!$B$32:$K$49,3),IF(E32="CU-K",VLOOKUP(H32,TABLAS!$B$32:$K$49,4),IF(E32="CU-L",VLOOKUP(H32,TABLAS!$B$32:$K$49,5),IF(E32="CU-M",VLOOKUP(H32,TABLAS!$B$32:$K$49,6),IF(E32="PVCP",VLOOKUP(H32,TABLAS!$B$32:$K$49,7),IF(E32="CPVC",VLOOKUP(H32,TABLAS!$B$32:$K$49,8),"ERROR")))))))</f>
        <v>102.26039999999999</v>
      </c>
      <c r="J32" s="40">
        <f t="shared" ref="J32:J36" si="15">(G32/1000)/(PI()*(I32/2/1000)^2)</f>
        <v>3.8408352255080604</v>
      </c>
      <c r="K32" s="75">
        <v>2.5499999999999998</v>
      </c>
      <c r="L32" s="75">
        <v>0</v>
      </c>
      <c r="M32" s="40">
        <f>+(K32+L32)*0.25</f>
        <v>0.63749999999999996</v>
      </c>
      <c r="N32" s="40">
        <f t="shared" ref="N32:N36" si="16">SUM(K32:M32)</f>
        <v>3.1875</v>
      </c>
      <c r="O32" s="41">
        <f>(G32/(280*(IF(E32="AG-SCH40",VLOOKUP(E32,TABLAS!$N$4:$O$12,2),IF(E32="AG-SCH80",VLOOKUP(E32,TABLAS!$N$4:$O$12,2),IF(E32="CU-K",VLOOKUP(E32,TABLAS!$N$4:$O$12,2),IF(E32="CU-L",VLOOKUP(E32,TABLAS!$N$4:$O$12,2),IF(E32="CU-M",VLOOKUP(E32,TABLAS!$N$4:$O$12,2),IF(E32="PVCP",VLOOKUP(E32,TABLAS!$N$4:$O$12,2),IF(E32="CPVC",VLOOKUP(E32,TABLAS!$N$4:$O$12,2),"ERROR"))))))))*(I32/1000)^2.63))^1.85</f>
        <v>0.16502967398076621</v>
      </c>
      <c r="P32" s="40">
        <f t="shared" ref="P32:P36" si="17">ROUND(N32*O32,2)</f>
        <v>0.53</v>
      </c>
      <c r="Q32" s="39">
        <f t="shared" si="12"/>
        <v>76.78</v>
      </c>
      <c r="R32" s="371"/>
      <c r="S32" s="434"/>
      <c r="V32" s="511">
        <f t="shared" si="13"/>
        <v>104.8014</v>
      </c>
    </row>
    <row r="33" spans="1:23" ht="21.75" hidden="1" customHeight="1" x14ac:dyDescent="0.2">
      <c r="B33" s="366"/>
      <c r="C33" s="242">
        <f t="shared" ref="C33:C35" si="18">+D32</f>
        <v>3</v>
      </c>
      <c r="D33" s="243">
        <f t="shared" ref="D33:D34" si="19">+C33+1</f>
        <v>4</v>
      </c>
      <c r="E33" s="43" t="s">
        <v>2</v>
      </c>
      <c r="F33" s="73">
        <v>500</v>
      </c>
      <c r="G33" s="40">
        <f t="shared" si="14"/>
        <v>31.544999999999998</v>
      </c>
      <c r="H33" s="74">
        <v>4</v>
      </c>
      <c r="I33" s="40">
        <f>IF(E33="AG-SCH40",VLOOKUP(H33,TABLAS!$B$32:$K$49,2),IF(E33="AG-SCH80",VLOOKUP(H33,TABLAS!$B$32:$K$49,3),IF(E33="CU-K",VLOOKUP(H33,TABLAS!$B$32:$K$49,4),IF(E33="CU-L",VLOOKUP(H33,TABLAS!$B$32:$K$49,5),IF(E33="CU-M",VLOOKUP(H33,TABLAS!$B$32:$K$49,6),IF(E33="PVCP",VLOOKUP(H33,TABLAS!$B$32:$K$49,7),IF(E33="CPVC",VLOOKUP(H33,TABLAS!$B$32:$K$49,8),"ERROR")))))))</f>
        <v>102.26039999999999</v>
      </c>
      <c r="J33" s="40">
        <f t="shared" si="15"/>
        <v>3.8408352255080604</v>
      </c>
      <c r="K33" s="75">
        <v>0</v>
      </c>
      <c r="L33" s="75">
        <v>5</v>
      </c>
      <c r="M33" s="40">
        <f t="shared" ref="M33:M36" si="20">+(K33+L33)*0.25</f>
        <v>1.25</v>
      </c>
      <c r="N33" s="40">
        <f t="shared" si="16"/>
        <v>6.25</v>
      </c>
      <c r="O33" s="41">
        <f>(G33/(280*(IF(E33="AG-SCH40",VLOOKUP(E33,TABLAS!$N$4:$O$12,2),IF(E33="AG-SCH80",VLOOKUP(E33,TABLAS!$N$4:$O$12,2),IF(E33="CU-K",VLOOKUP(E33,TABLAS!$N$4:$O$12,2),IF(E33="CU-L",VLOOKUP(E33,TABLAS!$N$4:$O$12,2),IF(E33="CU-M",VLOOKUP(E33,TABLAS!$N$4:$O$12,2),IF(E33="PVCP",VLOOKUP(E33,TABLAS!$N$4:$O$12,2),IF(E33="CPVC",VLOOKUP(E33,TABLAS!$N$4:$O$12,2),"ERROR"))))))))*(I33/1000)^2.63))^1.85</f>
        <v>0.16502967398076621</v>
      </c>
      <c r="P33" s="40">
        <f t="shared" si="17"/>
        <v>1.03</v>
      </c>
      <c r="Q33" s="39">
        <f t="shared" si="12"/>
        <v>77.81</v>
      </c>
      <c r="R33" s="371"/>
      <c r="S33" s="434"/>
      <c r="V33" s="511">
        <f t="shared" si="13"/>
        <v>109.18115999999999</v>
      </c>
    </row>
    <row r="34" spans="1:23" ht="21.75" hidden="1" customHeight="1" x14ac:dyDescent="0.2">
      <c r="B34" s="366"/>
      <c r="C34" s="242">
        <f t="shared" si="18"/>
        <v>4</v>
      </c>
      <c r="D34" s="243">
        <f t="shared" si="19"/>
        <v>5</v>
      </c>
      <c r="E34" s="43" t="s">
        <v>2</v>
      </c>
      <c r="F34" s="73">
        <v>500</v>
      </c>
      <c r="G34" s="40">
        <f t="shared" si="14"/>
        <v>31.544999999999998</v>
      </c>
      <c r="H34" s="74">
        <v>6</v>
      </c>
      <c r="I34" s="40">
        <f>IF(E34="AG-SCH40",VLOOKUP(H34,TABLAS!$B$32:$K$49,2),IF(E34="AG-SCH80",VLOOKUP(H34,TABLAS!$B$32:$K$49,3),IF(E34="CU-K",VLOOKUP(H34,TABLAS!$B$32:$K$49,4),IF(E34="CU-L",VLOOKUP(H34,TABLAS!$B$32:$K$49,5),IF(E34="CU-M",VLOOKUP(H34,TABLAS!$B$32:$K$49,6),IF(E34="PVCP",VLOOKUP(H34,TABLAS!$B$32:$K$49,7),IF(E34="CPVC",VLOOKUP(H34,TABLAS!$B$32:$K$49,8),"ERROR")))))))</f>
        <v>154.05099999999999</v>
      </c>
      <c r="J34" s="40">
        <f t="shared" si="15"/>
        <v>1.6924334749378862</v>
      </c>
      <c r="K34" s="75">
        <v>62</v>
      </c>
      <c r="L34" s="75">
        <v>0</v>
      </c>
      <c r="M34" s="40">
        <f t="shared" si="20"/>
        <v>15.5</v>
      </c>
      <c r="N34" s="40">
        <f t="shared" si="16"/>
        <v>77.5</v>
      </c>
      <c r="O34" s="41">
        <f>(G34/(280*(IF(E34="AG-SCH40",VLOOKUP(E34,TABLAS!$N$4:$O$12,2),IF(E34="AG-SCH80",VLOOKUP(E34,TABLAS!$N$4:$O$12,2),IF(E34="CU-K",VLOOKUP(E34,TABLAS!$N$4:$O$12,2),IF(E34="CU-L",VLOOKUP(E34,TABLAS!$N$4:$O$12,2),IF(E34="CU-M",VLOOKUP(E34,TABLAS!$N$4:$O$12,2),IF(E34="PVCP",VLOOKUP(E34,TABLAS!$N$4:$O$12,2),IF(E34="CPVC",VLOOKUP(E34,TABLAS!$N$4:$O$12,2),"ERROR"))))))))*(I34/1000)^2.63))^1.85</f>
        <v>2.2475641158646434E-2</v>
      </c>
      <c r="P34" s="40">
        <f t="shared" si="17"/>
        <v>1.74</v>
      </c>
      <c r="Q34" s="39">
        <f t="shared" si="12"/>
        <v>141.55000000000001</v>
      </c>
      <c r="R34" s="371"/>
      <c r="S34" s="434"/>
      <c r="V34" s="511">
        <f t="shared" si="13"/>
        <v>110.64582</v>
      </c>
    </row>
    <row r="35" spans="1:23" ht="21.75" hidden="1" customHeight="1" x14ac:dyDescent="0.2">
      <c r="B35" s="366"/>
      <c r="C35" s="242">
        <f t="shared" si="18"/>
        <v>5</v>
      </c>
      <c r="D35" s="243">
        <v>6</v>
      </c>
      <c r="E35" s="43" t="s">
        <v>2</v>
      </c>
      <c r="F35" s="73">
        <v>750</v>
      </c>
      <c r="G35" s="40">
        <f t="shared" si="14"/>
        <v>47.317499999999995</v>
      </c>
      <c r="H35" s="74">
        <v>6</v>
      </c>
      <c r="I35" s="40">
        <f>IF(E35="AG-SCH40",VLOOKUP(H35,TABLAS!$B$32:$K$49,2),IF(E35="AG-SCH80",VLOOKUP(H35,TABLAS!$B$32:$K$49,3),IF(E35="CU-K",VLOOKUP(H35,TABLAS!$B$32:$K$49,4),IF(E35="CU-L",VLOOKUP(H35,TABLAS!$B$32:$K$49,5),IF(E35="CU-M",VLOOKUP(H35,TABLAS!$B$32:$K$49,6),IF(E35="PVCP",VLOOKUP(H35,TABLAS!$B$32:$K$49,7),IF(E35="CPVC",VLOOKUP(H35,TABLAS!$B$32:$K$49,8),"ERROR")))))))</f>
        <v>154.05099999999999</v>
      </c>
      <c r="J35" s="40">
        <f t="shared" si="15"/>
        <v>2.5386502124068295</v>
      </c>
      <c r="K35" s="75">
        <v>0</v>
      </c>
      <c r="L35" s="75">
        <v>20.14</v>
      </c>
      <c r="M35" s="40">
        <f t="shared" si="20"/>
        <v>5.0350000000000001</v>
      </c>
      <c r="N35" s="40">
        <f t="shared" si="16"/>
        <v>25.175000000000001</v>
      </c>
      <c r="O35" s="41">
        <f>(G35/(280*(IF(E35="AG-SCH40",VLOOKUP(E35,TABLAS!$N$4:$O$12,2),IF(E35="AG-SCH80",VLOOKUP(E35,TABLAS!$N$4:$O$12,2),IF(E35="CU-K",VLOOKUP(E35,TABLAS!$N$4:$O$12,2),IF(E35="CU-L",VLOOKUP(E35,TABLAS!$N$4:$O$12,2),IF(E35="CU-M",VLOOKUP(E35,TABLAS!$N$4:$O$12,2),IF(E35="PVCP",VLOOKUP(E35,TABLAS!$N$4:$O$12,2),IF(E35="CPVC",VLOOKUP(E35,TABLAS!$N$4:$O$12,2),"ERROR"))))))))*(I35/1000)^2.63))^1.85</f>
        <v>4.7586188310492751E-2</v>
      </c>
      <c r="P35" s="40">
        <f t="shared" si="17"/>
        <v>1.2</v>
      </c>
      <c r="Q35" s="39">
        <f t="shared" si="12"/>
        <v>142.75</v>
      </c>
      <c r="R35" s="371"/>
      <c r="S35" s="434"/>
      <c r="V35" s="511">
        <f t="shared" si="13"/>
        <v>201.2841</v>
      </c>
    </row>
    <row r="36" spans="1:23" ht="21.75" hidden="1" customHeight="1" x14ac:dyDescent="0.2">
      <c r="B36" s="366"/>
      <c r="C36" s="244">
        <f>+D35</f>
        <v>6</v>
      </c>
      <c r="D36" s="245">
        <v>7</v>
      </c>
      <c r="E36" s="237" t="s">
        <v>2</v>
      </c>
      <c r="F36" s="238">
        <v>750</v>
      </c>
      <c r="G36" s="238">
        <f t="shared" si="14"/>
        <v>47.317499999999995</v>
      </c>
      <c r="H36" s="239">
        <v>6</v>
      </c>
      <c r="I36" s="238">
        <f>IF(E36="AG-SCH40",VLOOKUP(H36,TABLAS!$B$32:$K$49,2),IF(E36="AG-SCH80",VLOOKUP(H36,TABLAS!$B$32:$K$49,3),IF(E36="CU-K",VLOOKUP(H36,TABLAS!$B$32:$K$49,4),IF(E36="CU-L",VLOOKUP(H36,TABLAS!$B$32:$K$49,5),IF(E36="CU-M",VLOOKUP(H36,TABLAS!$B$32:$K$49,6),IF(E36="PVCP",VLOOKUP(H36,TABLAS!$B$32:$K$49,7),IF(E36="CPVC",VLOOKUP(H36,TABLAS!$B$32:$K$49,8),"ERROR")))))))</f>
        <v>154.05099999999999</v>
      </c>
      <c r="J36" s="238">
        <f t="shared" si="15"/>
        <v>2.5386502124068295</v>
      </c>
      <c r="K36" s="240">
        <v>0</v>
      </c>
      <c r="L36" s="240">
        <v>11.86</v>
      </c>
      <c r="M36" s="238">
        <f t="shared" si="20"/>
        <v>2.9649999999999999</v>
      </c>
      <c r="N36" s="238">
        <f t="shared" si="16"/>
        <v>14.824999999999999</v>
      </c>
      <c r="O36" s="241">
        <f>(G36/(280*(IF(E36="AG-SCH40",VLOOKUP(E36,TABLAS!$N$4:$O$12,2),IF(E36="AG-SCH80",VLOOKUP(E36,TABLAS!$N$4:$O$12,2),IF(E36="CU-K",VLOOKUP(E36,TABLAS!$N$4:$O$12,2),IF(E36="CU-L",VLOOKUP(E36,TABLAS!$N$4:$O$12,2),IF(E36="CU-M",VLOOKUP(E36,TABLAS!$N$4:$O$12,2),IF(E36="PVCP",VLOOKUP(E36,TABLAS!$N$4:$O$12,2),IF(E36="CPVC",VLOOKUP(E36,TABLAS!$N$4:$O$12,2),"ERROR"))))))))*(I36/1000)^2.63))^1.85</f>
        <v>4.7586188310492751E-2</v>
      </c>
      <c r="P36" s="238">
        <f t="shared" si="17"/>
        <v>0.71</v>
      </c>
      <c r="Q36" s="248">
        <f t="shared" si="12"/>
        <v>143.46</v>
      </c>
      <c r="R36" s="371"/>
      <c r="S36" s="434"/>
      <c r="V36" s="511">
        <f t="shared" si="13"/>
        <v>202.9905</v>
      </c>
    </row>
    <row r="37" spans="1:23" ht="21.75" hidden="1" customHeight="1" x14ac:dyDescent="0.2">
      <c r="B37" s="366"/>
      <c r="C37" s="242">
        <f>+D36</f>
        <v>7</v>
      </c>
      <c r="D37" s="243" t="s">
        <v>107</v>
      </c>
      <c r="E37" s="43" t="s">
        <v>2</v>
      </c>
      <c r="F37" s="73">
        <v>750</v>
      </c>
      <c r="G37" s="40">
        <f t="shared" si="2"/>
        <v>47.317499999999995</v>
      </c>
      <c r="H37" s="74">
        <v>6</v>
      </c>
      <c r="I37" s="40">
        <f>IF(E37="AG-SCH40",VLOOKUP(H37,TABLAS!$B$32:$K$49,2),IF(E37="AG-SCH80",VLOOKUP(H37,TABLAS!$B$32:$K$49,3),IF(E37="CU-K",VLOOKUP(H37,TABLAS!$B$32:$K$49,4),IF(E37="CU-L",VLOOKUP(H37,TABLAS!$B$32:$K$49,5),IF(E37="CU-M",VLOOKUP(H37,TABLAS!$B$32:$K$49,6),IF(E37="PVCP",VLOOKUP(H37,TABLAS!$B$32:$K$49,7),IF(E37="CPVC",VLOOKUP(H37,TABLAS!$B$32:$K$49,8),"ERROR")))))))</f>
        <v>154.05099999999999</v>
      </c>
      <c r="J37" s="40">
        <f t="shared" ref="J37" si="21">(G37/1000)/(PI()*(I37/2/1000)^2)</f>
        <v>2.5386502124068295</v>
      </c>
      <c r="K37" s="75">
        <v>2.4</v>
      </c>
      <c r="L37" s="75">
        <v>1.5</v>
      </c>
      <c r="M37" s="40">
        <f t="shared" ref="M37" si="22">+(K37+L37)*0.25</f>
        <v>0.97499999999999998</v>
      </c>
      <c r="N37" s="40">
        <f t="shared" ref="N37" si="23">SUM(K37:M37)</f>
        <v>4.875</v>
      </c>
      <c r="O37" s="41">
        <f>(G37/(280*(IF(E37="AG-SCH40",VLOOKUP(E37,TABLAS!$N$4:$O$12,2),IF(E37="AG-SCH80",VLOOKUP(E37,TABLAS!$N$4:$O$12,2),IF(E37="CU-K",VLOOKUP(E37,TABLAS!$N$4:$O$12,2),IF(E37="CU-L",VLOOKUP(E37,TABLAS!$N$4:$O$12,2),IF(E37="CU-M",VLOOKUP(E37,TABLAS!$N$4:$O$12,2),IF(E37="PVCP",VLOOKUP(E37,TABLAS!$N$4:$O$12,2),IF(E37="CPVC",VLOOKUP(E37,TABLAS!$N$4:$O$12,2),"ERROR"))))))))*(I37/1000)^2.63))^1.85</f>
        <v>4.7586188310492751E-2</v>
      </c>
      <c r="P37" s="40">
        <f t="shared" ref="P37" si="24">ROUND(N37*O37,2)</f>
        <v>0.23</v>
      </c>
      <c r="Q37" s="39">
        <f>Q36+K37+P37</f>
        <v>146.09</v>
      </c>
      <c r="R37" s="371"/>
      <c r="S37" s="434"/>
      <c r="V37" s="511">
        <f t="shared" si="13"/>
        <v>204.00012000000001</v>
      </c>
    </row>
    <row r="38" spans="1:23" ht="21.75" hidden="1" customHeight="1" x14ac:dyDescent="0.2">
      <c r="B38" s="366"/>
      <c r="C38" s="393"/>
      <c r="D38" s="394"/>
      <c r="E38" s="375"/>
      <c r="F38" s="376">
        <f>MAX(F31:F37)</f>
        <v>750</v>
      </c>
      <c r="G38" s="376">
        <f>MAX(G31:G37)</f>
        <v>47.317499999999995</v>
      </c>
      <c r="H38" s="377"/>
      <c r="I38" s="377"/>
      <c r="J38" s="378"/>
      <c r="K38" s="379">
        <f>SUM(K31:K37)</f>
        <v>69.5</v>
      </c>
      <c r="L38" s="380"/>
      <c r="M38" s="378"/>
      <c r="N38" s="379">
        <f>SUM(N31:N37)</f>
        <v>135</v>
      </c>
      <c r="O38" s="381"/>
      <c r="P38" s="382">
        <f>SUM(P31:P37)</f>
        <v>5.5900000000000007</v>
      </c>
      <c r="Q38" s="383"/>
      <c r="R38" s="371"/>
      <c r="S38" s="434"/>
      <c r="V38" s="511">
        <f t="shared" si="13"/>
        <v>207.73998</v>
      </c>
    </row>
    <row r="39" spans="1:23" ht="21.75" hidden="1" customHeight="1" thickBot="1" x14ac:dyDescent="0.25">
      <c r="B39" s="366"/>
      <c r="C39" s="390"/>
      <c r="D39" s="390"/>
      <c r="E39" s="312"/>
      <c r="F39" s="312"/>
      <c r="G39" s="313"/>
      <c r="H39" s="314"/>
      <c r="I39" s="314"/>
      <c r="J39" s="313"/>
      <c r="K39" s="391"/>
      <c r="L39" s="391"/>
      <c r="M39" s="313"/>
      <c r="N39" s="391"/>
      <c r="O39" s="315"/>
      <c r="P39" s="313"/>
      <c r="Q39" s="313"/>
      <c r="R39" s="371"/>
      <c r="S39" s="434"/>
      <c r="T39" s="255"/>
    </row>
    <row r="40" spans="1:23" s="22" customFormat="1" ht="12" hidden="1" customHeight="1" thickBot="1" x14ac:dyDescent="0.25">
      <c r="A40" s="367"/>
      <c r="B40" s="368"/>
      <c r="C40" s="583" t="s">
        <v>181</v>
      </c>
      <c r="D40" s="584"/>
      <c r="E40" s="584"/>
      <c r="F40" s="584"/>
      <c r="G40" s="584"/>
      <c r="H40" s="584"/>
      <c r="I40" s="584"/>
      <c r="J40" s="584"/>
      <c r="K40" s="584"/>
      <c r="L40" s="584"/>
      <c r="M40" s="584"/>
      <c r="N40" s="584"/>
      <c r="O40" s="584"/>
      <c r="P40" s="584"/>
      <c r="Q40" s="585"/>
      <c r="R40" s="372"/>
      <c r="S40" s="313"/>
      <c r="T40" s="367"/>
      <c r="V40" s="513"/>
    </row>
    <row r="41" spans="1:23" ht="30" customHeight="1" thickBot="1" x14ac:dyDescent="0.25">
      <c r="B41" s="264"/>
      <c r="C41" s="586"/>
      <c r="D41" s="587"/>
      <c r="E41" s="587"/>
      <c r="F41" s="587"/>
      <c r="G41" s="587"/>
      <c r="H41" s="587"/>
      <c r="I41" s="587"/>
      <c r="J41" s="587"/>
      <c r="K41" s="587"/>
      <c r="L41" s="587"/>
      <c r="M41" s="587"/>
      <c r="N41" s="587"/>
      <c r="O41" s="587"/>
      <c r="P41" s="587"/>
      <c r="Q41" s="588"/>
      <c r="R41" s="266"/>
      <c r="S41" s="1"/>
      <c r="V41" s="1">
        <f>180-W41</f>
        <v>171.47</v>
      </c>
      <c r="W41" s="1">
        <v>8.5299999999999994</v>
      </c>
    </row>
    <row r="42" spans="1:23" s="22" customFormat="1" ht="15" thickBot="1" x14ac:dyDescent="0.25">
      <c r="A42" s="367"/>
      <c r="B42" s="403"/>
      <c r="C42" s="390"/>
      <c r="D42" s="390"/>
      <c r="E42" s="312"/>
      <c r="F42" s="312"/>
      <c r="G42" s="313"/>
      <c r="H42" s="314"/>
      <c r="I42" s="314"/>
      <c r="J42" s="313"/>
      <c r="K42" s="391"/>
      <c r="L42" s="391"/>
      <c r="M42" s="313"/>
      <c r="N42" s="391"/>
      <c r="O42" s="315"/>
      <c r="P42" s="313"/>
      <c r="Q42" s="313"/>
      <c r="R42" s="395"/>
      <c r="S42" s="313"/>
      <c r="V42" s="513"/>
    </row>
    <row r="43" spans="1:23" s="22" customFormat="1" ht="15.75" thickBot="1" x14ac:dyDescent="0.3">
      <c r="A43" s="367"/>
      <c r="B43" s="403"/>
      <c r="C43" s="565" t="s">
        <v>182</v>
      </c>
      <c r="D43" s="560"/>
      <c r="E43" s="560"/>
      <c r="F43" s="560"/>
      <c r="G43" s="560"/>
      <c r="H43" s="560"/>
      <c r="I43" s="560"/>
      <c r="J43" s="566"/>
      <c r="K43" s="565" t="s">
        <v>184</v>
      </c>
      <c r="L43" s="560"/>
      <c r="M43" s="560"/>
      <c r="N43" s="560"/>
      <c r="O43" s="560"/>
      <c r="P43" s="560"/>
      <c r="Q43" s="566"/>
      <c r="R43" s="395"/>
      <c r="S43" s="313"/>
      <c r="V43" s="513"/>
    </row>
    <row r="44" spans="1:23" s="22" customFormat="1" ht="15" thickBot="1" x14ac:dyDescent="0.25">
      <c r="A44" s="367"/>
      <c r="B44" s="368"/>
      <c r="C44" s="384"/>
      <c r="D44" s="384"/>
      <c r="E44" s="385"/>
      <c r="F44" s="385"/>
      <c r="G44" s="386"/>
      <c r="H44" s="387"/>
      <c r="I44" s="387"/>
      <c r="J44" s="386"/>
      <c r="K44" s="388"/>
      <c r="L44" s="388"/>
      <c r="M44" s="386"/>
      <c r="N44" s="388"/>
      <c r="O44" s="389"/>
      <c r="P44" s="386"/>
      <c r="Q44" s="386"/>
      <c r="R44" s="372"/>
      <c r="S44" s="313"/>
      <c r="V44" s="513"/>
    </row>
    <row r="45" spans="1:23" s="22" customFormat="1" x14ac:dyDescent="0.2">
      <c r="A45" s="367"/>
      <c r="B45" s="367"/>
      <c r="C45" s="24"/>
      <c r="D45" s="24"/>
      <c r="E45" s="6"/>
      <c r="F45" s="6"/>
      <c r="G45" s="2"/>
      <c r="H45" s="5"/>
      <c r="O45" s="3"/>
      <c r="P45" s="2"/>
      <c r="Q45" s="2"/>
      <c r="R45" s="313"/>
      <c r="S45" s="313"/>
      <c r="V45" s="513"/>
    </row>
    <row r="46" spans="1:23" s="22" customFormat="1" x14ac:dyDescent="0.2">
      <c r="A46" s="367"/>
      <c r="B46" s="367"/>
      <c r="C46" s="24"/>
      <c r="D46" s="24"/>
      <c r="E46" s="6"/>
      <c r="F46" s="6"/>
      <c r="G46" s="2"/>
      <c r="H46" s="5"/>
      <c r="I46" s="5"/>
      <c r="J46" s="2"/>
      <c r="K46" s="23"/>
      <c r="L46" s="23"/>
      <c r="M46" s="2"/>
      <c r="N46" s="23"/>
      <c r="O46" s="3"/>
      <c r="P46" s="2"/>
      <c r="Q46" s="2"/>
      <c r="R46" s="313"/>
      <c r="S46" s="313"/>
      <c r="V46" s="513"/>
    </row>
    <row r="47" spans="1:23" s="22" customFormat="1" x14ac:dyDescent="0.2">
      <c r="A47" s="367"/>
      <c r="B47" s="367"/>
      <c r="C47" s="24"/>
      <c r="D47" s="24"/>
      <c r="E47" s="6"/>
      <c r="F47" s="6"/>
      <c r="G47" s="2"/>
      <c r="H47" s="5"/>
      <c r="I47" s="5"/>
      <c r="J47" s="2"/>
      <c r="K47" s="23"/>
      <c r="L47" s="23"/>
      <c r="M47" s="2"/>
      <c r="N47" s="23"/>
      <c r="O47" s="3"/>
      <c r="P47" s="2"/>
      <c r="Q47" s="2"/>
      <c r="R47" s="313"/>
      <c r="S47" s="313"/>
      <c r="V47" s="513"/>
    </row>
    <row r="48" spans="1:23" s="22" customFormat="1" ht="14.25" customHeight="1" x14ac:dyDescent="0.2">
      <c r="A48" s="367"/>
      <c r="B48" s="367"/>
      <c r="C48" s="24"/>
      <c r="D48" s="24"/>
      <c r="E48" s="6"/>
      <c r="F48" s="6"/>
      <c r="G48" s="2"/>
      <c r="H48" s="5"/>
      <c r="I48" s="5"/>
      <c r="J48" s="2"/>
      <c r="K48" s="23"/>
      <c r="L48" s="23"/>
      <c r="M48" s="2"/>
      <c r="N48" s="23"/>
      <c r="O48" s="3"/>
      <c r="P48" s="2"/>
      <c r="Q48" s="2"/>
      <c r="R48" s="313"/>
      <c r="S48" s="313"/>
      <c r="V48" s="513"/>
    </row>
    <row r="49" spans="1:22" s="22" customFormat="1" x14ac:dyDescent="0.2">
      <c r="A49" s="367"/>
      <c r="B49" s="367"/>
      <c r="C49" s="24"/>
      <c r="D49" s="24"/>
      <c r="E49" s="6"/>
      <c r="F49" s="6"/>
      <c r="G49" s="2"/>
      <c r="H49" s="5"/>
      <c r="I49" s="5"/>
      <c r="J49" s="2"/>
      <c r="K49" s="23"/>
      <c r="L49" s="23"/>
      <c r="M49" s="2"/>
      <c r="N49" s="23"/>
      <c r="O49" s="3"/>
      <c r="P49" s="2"/>
      <c r="Q49" s="2"/>
      <c r="R49" s="313"/>
      <c r="S49" s="313"/>
      <c r="V49" s="513"/>
    </row>
    <row r="50" spans="1:22" s="22" customFormat="1" ht="14.25" customHeight="1" x14ac:dyDescent="0.2">
      <c r="A50" s="367"/>
      <c r="B50" s="367"/>
      <c r="C50" s="24"/>
      <c r="D50" s="24"/>
      <c r="E50" s="6"/>
      <c r="F50" s="6"/>
      <c r="G50" s="2"/>
      <c r="H50" s="5"/>
      <c r="I50" s="5"/>
      <c r="J50" s="2"/>
      <c r="K50" s="23"/>
      <c r="L50" s="23"/>
      <c r="M50" s="2"/>
      <c r="N50" s="23"/>
      <c r="O50" s="3"/>
      <c r="P50" s="2"/>
      <c r="Q50" s="2"/>
      <c r="R50" s="313"/>
      <c r="S50" s="313"/>
      <c r="V50" s="513"/>
    </row>
    <row r="51" spans="1:22" s="22" customFormat="1" ht="14.25" customHeight="1" x14ac:dyDescent="0.2">
      <c r="A51" s="367"/>
      <c r="B51" s="367"/>
      <c r="C51" s="24"/>
      <c r="D51" s="24"/>
      <c r="E51" s="6"/>
      <c r="F51" s="6"/>
      <c r="G51" s="2"/>
      <c r="H51" s="5"/>
      <c r="I51" s="5"/>
      <c r="J51" s="2"/>
      <c r="K51" s="23"/>
      <c r="L51" s="23"/>
      <c r="M51" s="2"/>
      <c r="N51" s="23"/>
      <c r="O51" s="3"/>
      <c r="P51" s="2"/>
      <c r="Q51" s="2"/>
      <c r="R51" s="313"/>
      <c r="S51" s="313"/>
      <c r="V51" s="513"/>
    </row>
    <row r="52" spans="1:22" s="22" customFormat="1" ht="14.25" customHeight="1" x14ac:dyDescent="0.2">
      <c r="A52" s="367"/>
      <c r="B52" s="367"/>
      <c r="C52" s="24"/>
      <c r="D52" s="24"/>
      <c r="E52" s="6"/>
      <c r="F52" s="6"/>
      <c r="G52" s="2"/>
      <c r="H52" s="5"/>
      <c r="I52" s="5"/>
      <c r="J52" s="2"/>
      <c r="K52" s="23"/>
      <c r="L52" s="23"/>
      <c r="M52" s="2"/>
      <c r="N52" s="23"/>
      <c r="O52" s="3"/>
      <c r="P52" s="2"/>
      <c r="Q52" s="2"/>
      <c r="R52" s="313"/>
      <c r="S52" s="313"/>
      <c r="V52" s="513"/>
    </row>
    <row r="53" spans="1:22" s="22" customFormat="1" ht="14.25" customHeight="1" x14ac:dyDescent="0.2">
      <c r="A53" s="367"/>
      <c r="B53" s="367"/>
      <c r="C53" s="24"/>
      <c r="D53" s="24"/>
      <c r="E53" s="6"/>
      <c r="F53" s="6"/>
      <c r="G53" s="2"/>
      <c r="H53" s="5"/>
      <c r="I53" s="5"/>
      <c r="J53" s="2"/>
      <c r="K53" s="23"/>
      <c r="L53" s="23"/>
      <c r="M53" s="2"/>
      <c r="N53" s="23"/>
      <c r="O53" s="3"/>
      <c r="P53" s="2"/>
      <c r="Q53" s="2"/>
      <c r="R53" s="313"/>
      <c r="S53" s="313"/>
      <c r="V53" s="513"/>
    </row>
    <row r="54" spans="1:22" s="22" customFormat="1" ht="14.25" customHeight="1" x14ac:dyDescent="0.2">
      <c r="A54" s="367"/>
      <c r="B54" s="367"/>
      <c r="C54" s="24"/>
      <c r="D54" s="24"/>
      <c r="E54" s="6"/>
      <c r="F54" s="6"/>
      <c r="G54" s="2"/>
      <c r="H54" s="5"/>
      <c r="I54" s="5"/>
      <c r="J54" s="2"/>
      <c r="K54" s="23"/>
      <c r="L54" s="23"/>
      <c r="M54" s="2"/>
      <c r="N54" s="23"/>
      <c r="O54" s="3"/>
      <c r="P54" s="2"/>
      <c r="Q54" s="2"/>
      <c r="R54" s="313"/>
      <c r="S54" s="313"/>
      <c r="V54" s="513"/>
    </row>
    <row r="55" spans="1:22" s="22" customFormat="1" x14ac:dyDescent="0.2">
      <c r="A55" s="367"/>
      <c r="B55" s="367"/>
      <c r="C55" s="27"/>
      <c r="D55" s="27"/>
      <c r="E55" s="6"/>
      <c r="F55" s="6"/>
      <c r="G55" s="2"/>
      <c r="H55" s="5"/>
      <c r="I55" s="5"/>
      <c r="J55" s="2"/>
      <c r="K55" s="26"/>
      <c r="L55" s="26"/>
      <c r="M55" s="2"/>
      <c r="N55" s="26"/>
      <c r="O55" s="3"/>
      <c r="P55" s="2"/>
      <c r="Q55" s="2"/>
      <c r="R55" s="313"/>
      <c r="S55" s="313"/>
      <c r="V55" s="513"/>
    </row>
    <row r="56" spans="1:22" s="25" customFormat="1" ht="15" customHeight="1" x14ac:dyDescent="0.2">
      <c r="A56" s="369"/>
      <c r="B56" s="369"/>
      <c r="C56" s="24"/>
      <c r="D56" s="24"/>
      <c r="E56" s="6"/>
      <c r="F56" s="6"/>
      <c r="G56" s="2"/>
      <c r="H56" s="5"/>
      <c r="I56" s="5"/>
      <c r="J56" s="2"/>
      <c r="K56" s="23"/>
      <c r="L56" s="23"/>
      <c r="M56" s="2"/>
      <c r="N56" s="23"/>
      <c r="O56" s="3"/>
      <c r="P56" s="2"/>
      <c r="Q56" s="2"/>
      <c r="R56" s="313"/>
      <c r="S56" s="313"/>
      <c r="V56" s="513"/>
    </row>
    <row r="57" spans="1:22" s="22" customFormat="1" ht="14.25" customHeight="1" x14ac:dyDescent="0.2">
      <c r="A57" s="367"/>
      <c r="B57" s="367"/>
      <c r="C57" s="24"/>
      <c r="D57" s="24"/>
      <c r="E57" s="6"/>
      <c r="F57" s="6"/>
      <c r="G57" s="2"/>
      <c r="H57" s="5"/>
      <c r="I57" s="5"/>
      <c r="J57" s="2"/>
      <c r="K57" s="23"/>
      <c r="L57" s="23"/>
      <c r="M57" s="2"/>
      <c r="N57" s="23"/>
      <c r="O57" s="3"/>
      <c r="P57" s="2"/>
      <c r="Q57" s="2"/>
      <c r="R57" s="313"/>
      <c r="S57" s="313"/>
      <c r="V57" s="513"/>
    </row>
    <row r="58" spans="1:22" s="22" customFormat="1" ht="14.25" customHeight="1" x14ac:dyDescent="0.2">
      <c r="A58" s="367"/>
      <c r="B58" s="367"/>
      <c r="C58" s="24"/>
      <c r="D58" s="24"/>
      <c r="E58" s="6"/>
      <c r="F58" s="6"/>
      <c r="G58" s="2"/>
      <c r="H58" s="5"/>
      <c r="I58" s="5"/>
      <c r="J58" s="2"/>
      <c r="K58" s="23"/>
      <c r="L58" s="23"/>
      <c r="M58" s="2"/>
      <c r="N58" s="23"/>
      <c r="O58" s="3"/>
      <c r="P58" s="2"/>
      <c r="Q58" s="2"/>
      <c r="R58" s="313"/>
      <c r="S58" s="313"/>
      <c r="V58" s="513"/>
    </row>
    <row r="59" spans="1:22" s="22" customFormat="1" ht="14.25" customHeight="1" x14ac:dyDescent="0.2">
      <c r="A59" s="367"/>
      <c r="B59" s="367"/>
      <c r="C59" s="24"/>
      <c r="D59" s="24"/>
      <c r="E59" s="6"/>
      <c r="F59" s="6"/>
      <c r="G59" s="2"/>
      <c r="H59" s="5"/>
      <c r="I59" s="5"/>
      <c r="J59" s="2"/>
      <c r="K59" s="23"/>
      <c r="L59" s="23"/>
      <c r="M59" s="2"/>
      <c r="N59" s="23"/>
      <c r="O59" s="3"/>
      <c r="P59" s="2"/>
      <c r="Q59" s="2"/>
      <c r="R59" s="313"/>
      <c r="S59" s="313"/>
      <c r="V59" s="513"/>
    </row>
    <row r="60" spans="1:22" s="22" customFormat="1" ht="14.25" customHeight="1" x14ac:dyDescent="0.2">
      <c r="A60" s="367"/>
      <c r="B60" s="367"/>
      <c r="C60" s="24"/>
      <c r="D60" s="24"/>
      <c r="E60" s="6"/>
      <c r="F60" s="6"/>
      <c r="G60" s="2"/>
      <c r="H60" s="5"/>
      <c r="I60" s="5"/>
      <c r="J60" s="2"/>
      <c r="K60" s="23"/>
      <c r="L60" s="23"/>
      <c r="M60" s="2"/>
      <c r="N60" s="23"/>
      <c r="O60" s="3"/>
      <c r="P60" s="2"/>
      <c r="Q60" s="2"/>
      <c r="R60" s="313"/>
      <c r="S60" s="313"/>
      <c r="V60" s="513"/>
    </row>
    <row r="61" spans="1:22" s="22" customFormat="1" ht="14.25" customHeight="1" x14ac:dyDescent="0.2">
      <c r="A61" s="367"/>
      <c r="B61" s="367"/>
      <c r="C61" s="24"/>
      <c r="D61" s="24"/>
      <c r="E61" s="6"/>
      <c r="F61" s="6"/>
      <c r="G61" s="2"/>
      <c r="H61" s="5"/>
      <c r="I61" s="5"/>
      <c r="J61" s="2"/>
      <c r="K61" s="23"/>
      <c r="L61" s="23"/>
      <c r="M61" s="2"/>
      <c r="N61" s="23"/>
      <c r="O61" s="3"/>
      <c r="P61" s="2"/>
      <c r="Q61" s="2"/>
      <c r="R61" s="313"/>
      <c r="S61" s="313"/>
      <c r="V61" s="513"/>
    </row>
    <row r="62" spans="1:22" s="22" customFormat="1" ht="14.25" customHeight="1" x14ac:dyDescent="0.2">
      <c r="A62" s="367"/>
      <c r="B62" s="367"/>
      <c r="C62" s="24"/>
      <c r="D62" s="24"/>
      <c r="E62" s="6"/>
      <c r="F62" s="6"/>
      <c r="G62" s="2"/>
      <c r="H62" s="5"/>
      <c r="I62" s="5"/>
      <c r="J62" s="2"/>
      <c r="K62" s="23"/>
      <c r="L62" s="23"/>
      <c r="M62" s="2"/>
      <c r="N62" s="23"/>
      <c r="O62" s="3"/>
      <c r="P62" s="2"/>
      <c r="Q62" s="2"/>
      <c r="R62" s="313"/>
      <c r="S62" s="313"/>
      <c r="V62" s="513"/>
    </row>
    <row r="63" spans="1:22" s="22" customFormat="1" x14ac:dyDescent="0.2">
      <c r="A63" s="367"/>
      <c r="B63" s="367"/>
      <c r="C63" s="24"/>
      <c r="D63" s="24"/>
      <c r="E63" s="6"/>
      <c r="F63" s="6"/>
      <c r="G63" s="2"/>
      <c r="H63" s="5"/>
      <c r="I63" s="5"/>
      <c r="J63" s="2"/>
      <c r="K63" s="23"/>
      <c r="L63" s="23"/>
      <c r="M63" s="2"/>
      <c r="N63" s="23"/>
      <c r="O63" s="3"/>
      <c r="P63" s="2"/>
      <c r="Q63" s="2"/>
      <c r="R63" s="313"/>
      <c r="S63" s="313"/>
      <c r="V63" s="513"/>
    </row>
    <row r="64" spans="1:22" s="22" customFormat="1" x14ac:dyDescent="0.2">
      <c r="A64" s="367"/>
      <c r="B64" s="367"/>
      <c r="C64" s="24"/>
      <c r="D64" s="24"/>
      <c r="E64" s="6"/>
      <c r="F64" s="6"/>
      <c r="G64" s="2"/>
      <c r="H64" s="5"/>
      <c r="I64" s="5"/>
      <c r="J64" s="2"/>
      <c r="K64" s="23"/>
      <c r="L64" s="23"/>
      <c r="M64" s="2"/>
      <c r="N64" s="23"/>
      <c r="O64" s="3"/>
      <c r="P64" s="2"/>
      <c r="Q64" s="2"/>
      <c r="R64" s="313"/>
      <c r="S64" s="313"/>
      <c r="V64" s="513"/>
    </row>
    <row r="65" spans="1:22" s="22" customFormat="1" x14ac:dyDescent="0.2">
      <c r="A65" s="367"/>
      <c r="B65" s="367"/>
      <c r="C65" s="24"/>
      <c r="D65" s="24"/>
      <c r="E65" s="6"/>
      <c r="F65" s="6"/>
      <c r="G65" s="2"/>
      <c r="H65" s="5"/>
      <c r="I65" s="5"/>
      <c r="J65" s="2"/>
      <c r="K65" s="23"/>
      <c r="L65" s="23"/>
      <c r="M65" s="2"/>
      <c r="N65" s="23"/>
      <c r="O65" s="3"/>
      <c r="P65" s="2"/>
      <c r="Q65" s="2"/>
      <c r="R65" s="313"/>
      <c r="S65" s="313"/>
      <c r="V65" s="513"/>
    </row>
    <row r="66" spans="1:22" s="22" customFormat="1" x14ac:dyDescent="0.2">
      <c r="A66" s="367"/>
      <c r="B66" s="367"/>
      <c r="C66" s="24"/>
      <c r="D66" s="24"/>
      <c r="E66" s="6"/>
      <c r="F66" s="6"/>
      <c r="G66" s="2"/>
      <c r="H66" s="5"/>
      <c r="I66" s="5"/>
      <c r="J66" s="2"/>
      <c r="K66" s="23"/>
      <c r="L66" s="23"/>
      <c r="M66" s="2"/>
      <c r="N66" s="23"/>
      <c r="O66" s="3"/>
      <c r="P66" s="2"/>
      <c r="Q66" s="2"/>
      <c r="R66" s="313"/>
      <c r="S66" s="313"/>
      <c r="V66" s="513"/>
    </row>
    <row r="67" spans="1:22" s="22" customFormat="1" x14ac:dyDescent="0.2">
      <c r="A67" s="367"/>
      <c r="B67" s="367"/>
      <c r="C67" s="24"/>
      <c r="D67" s="24"/>
      <c r="E67" s="6"/>
      <c r="F67" s="6"/>
      <c r="G67" s="2"/>
      <c r="H67" s="5"/>
      <c r="I67" s="5"/>
      <c r="J67" s="2"/>
      <c r="K67" s="23"/>
      <c r="L67" s="23"/>
      <c r="M67" s="2"/>
      <c r="N67" s="23"/>
      <c r="O67" s="3"/>
      <c r="P67" s="2"/>
      <c r="Q67" s="2"/>
      <c r="R67" s="313"/>
      <c r="S67" s="313"/>
      <c r="V67" s="513"/>
    </row>
    <row r="68" spans="1:22" s="22" customFormat="1" x14ac:dyDescent="0.2">
      <c r="A68" s="367"/>
      <c r="B68" s="367"/>
      <c r="C68" s="24"/>
      <c r="D68" s="24"/>
      <c r="E68" s="6"/>
      <c r="F68" s="6"/>
      <c r="G68" s="2"/>
      <c r="H68" s="5"/>
      <c r="I68" s="5"/>
      <c r="J68" s="2"/>
      <c r="K68" s="23"/>
      <c r="L68" s="23"/>
      <c r="M68" s="2"/>
      <c r="N68" s="23"/>
      <c r="O68" s="3"/>
      <c r="P68" s="2"/>
      <c r="Q68" s="2"/>
      <c r="R68" s="313"/>
      <c r="S68" s="313"/>
      <c r="V68" s="513"/>
    </row>
    <row r="69" spans="1:22" s="22" customFormat="1" x14ac:dyDescent="0.2">
      <c r="A69" s="367"/>
      <c r="B69" s="367"/>
      <c r="C69" s="24"/>
      <c r="D69" s="24"/>
      <c r="E69" s="6"/>
      <c r="F69" s="6"/>
      <c r="G69" s="2"/>
      <c r="H69" s="5"/>
      <c r="I69" s="5"/>
      <c r="J69" s="2"/>
      <c r="K69" s="23"/>
      <c r="L69" s="23"/>
      <c r="M69" s="2"/>
      <c r="N69" s="23"/>
      <c r="O69" s="3"/>
      <c r="P69" s="2"/>
      <c r="Q69" s="2"/>
      <c r="R69" s="313"/>
      <c r="S69" s="313"/>
      <c r="V69" s="513"/>
    </row>
    <row r="70" spans="1:22" s="22" customFormat="1" x14ac:dyDescent="0.2">
      <c r="A70" s="367"/>
      <c r="B70" s="367"/>
      <c r="C70" s="24"/>
      <c r="D70" s="24"/>
      <c r="E70" s="6"/>
      <c r="F70" s="6"/>
      <c r="G70" s="2"/>
      <c r="H70" s="5"/>
      <c r="I70" s="5"/>
      <c r="J70" s="2"/>
      <c r="K70" s="23"/>
      <c r="L70" s="23"/>
      <c r="M70" s="2"/>
      <c r="N70" s="23"/>
      <c r="O70" s="3"/>
      <c r="P70" s="2"/>
      <c r="Q70" s="2"/>
      <c r="R70" s="313"/>
      <c r="S70" s="313"/>
      <c r="V70" s="513"/>
    </row>
    <row r="71" spans="1:22" s="22" customFormat="1" x14ac:dyDescent="0.2">
      <c r="A71" s="367"/>
      <c r="B71" s="367"/>
      <c r="C71" s="24"/>
      <c r="D71" s="24"/>
      <c r="E71" s="6"/>
      <c r="F71" s="6"/>
      <c r="G71" s="2"/>
      <c r="H71" s="5"/>
      <c r="I71" s="5"/>
      <c r="J71" s="2"/>
      <c r="K71" s="23"/>
      <c r="L71" s="23"/>
      <c r="M71" s="2"/>
      <c r="N71" s="23"/>
      <c r="O71" s="3"/>
      <c r="P71" s="2"/>
      <c r="Q71" s="2"/>
      <c r="R71" s="313"/>
      <c r="S71" s="313"/>
      <c r="V71" s="513"/>
    </row>
    <row r="72" spans="1:22" s="22" customFormat="1" x14ac:dyDescent="0.2">
      <c r="A72" s="367"/>
      <c r="B72" s="367"/>
      <c r="C72" s="24"/>
      <c r="D72" s="24"/>
      <c r="E72" s="6"/>
      <c r="F72" s="6"/>
      <c r="G72" s="2"/>
      <c r="H72" s="5"/>
      <c r="I72" s="5"/>
      <c r="J72" s="2"/>
      <c r="K72" s="23"/>
      <c r="L72" s="23"/>
      <c r="M72" s="2"/>
      <c r="N72" s="23"/>
      <c r="O72" s="3"/>
      <c r="P72" s="2"/>
      <c r="Q72" s="2"/>
      <c r="R72" s="313"/>
      <c r="S72" s="313"/>
      <c r="V72" s="513"/>
    </row>
    <row r="73" spans="1:22" s="22" customFormat="1" x14ac:dyDescent="0.2">
      <c r="A73" s="367"/>
      <c r="B73" s="367"/>
      <c r="C73" s="24"/>
      <c r="D73" s="24"/>
      <c r="E73" s="6"/>
      <c r="F73" s="6"/>
      <c r="G73" s="2"/>
      <c r="H73" s="5"/>
      <c r="I73" s="5"/>
      <c r="J73" s="2"/>
      <c r="K73" s="23"/>
      <c r="L73" s="23"/>
      <c r="M73" s="2"/>
      <c r="N73" s="23"/>
      <c r="O73" s="3"/>
      <c r="P73" s="2"/>
      <c r="Q73" s="2"/>
      <c r="R73" s="313"/>
      <c r="S73" s="313"/>
      <c r="V73" s="513"/>
    </row>
    <row r="74" spans="1:22" s="22" customFormat="1" x14ac:dyDescent="0.2">
      <c r="A74" s="367"/>
      <c r="B74" s="367"/>
      <c r="C74" s="24"/>
      <c r="D74" s="24"/>
      <c r="E74" s="6"/>
      <c r="F74" s="6"/>
      <c r="G74" s="2"/>
      <c r="H74" s="5"/>
      <c r="I74" s="5"/>
      <c r="J74" s="2"/>
      <c r="K74" s="23"/>
      <c r="L74" s="23"/>
      <c r="M74" s="2"/>
      <c r="N74" s="23"/>
      <c r="O74" s="3"/>
      <c r="P74" s="2"/>
      <c r="Q74" s="2"/>
      <c r="R74" s="313"/>
      <c r="S74" s="313"/>
      <c r="V74" s="513"/>
    </row>
    <row r="75" spans="1:22" s="22" customFormat="1" x14ac:dyDescent="0.2">
      <c r="A75" s="367"/>
      <c r="B75" s="367"/>
      <c r="C75" s="24"/>
      <c r="D75" s="24"/>
      <c r="E75" s="6"/>
      <c r="F75" s="6"/>
      <c r="G75" s="2"/>
      <c r="H75" s="5"/>
      <c r="I75" s="5"/>
      <c r="J75" s="2"/>
      <c r="K75" s="23"/>
      <c r="L75" s="23"/>
      <c r="M75" s="2"/>
      <c r="N75" s="23"/>
      <c r="O75" s="3"/>
      <c r="P75" s="2"/>
      <c r="Q75" s="2"/>
      <c r="R75" s="313"/>
      <c r="S75" s="313"/>
      <c r="V75" s="513"/>
    </row>
    <row r="76" spans="1:22" s="22" customFormat="1" x14ac:dyDescent="0.2">
      <c r="A76" s="367"/>
      <c r="B76" s="367"/>
      <c r="C76" s="24"/>
      <c r="D76" s="24"/>
      <c r="E76" s="6"/>
      <c r="F76" s="6"/>
      <c r="G76" s="2"/>
      <c r="H76" s="5"/>
      <c r="I76" s="5"/>
      <c r="J76" s="2"/>
      <c r="K76" s="23"/>
      <c r="L76" s="23"/>
      <c r="M76" s="2"/>
      <c r="N76" s="23"/>
      <c r="O76" s="3"/>
      <c r="P76" s="2"/>
      <c r="Q76" s="2"/>
      <c r="R76" s="313"/>
      <c r="S76" s="313"/>
      <c r="V76" s="513"/>
    </row>
    <row r="77" spans="1:22" s="22" customFormat="1" x14ac:dyDescent="0.2">
      <c r="A77" s="367"/>
      <c r="B77" s="367"/>
      <c r="C77" s="24"/>
      <c r="D77" s="24"/>
      <c r="E77" s="6"/>
      <c r="F77" s="6"/>
      <c r="G77" s="2"/>
      <c r="H77" s="5"/>
      <c r="I77" s="5"/>
      <c r="J77" s="2"/>
      <c r="K77" s="23"/>
      <c r="L77" s="23"/>
      <c r="M77" s="2"/>
      <c r="N77" s="23"/>
      <c r="O77" s="3"/>
      <c r="P77" s="2"/>
      <c r="Q77" s="2"/>
      <c r="R77" s="313"/>
      <c r="S77" s="313"/>
      <c r="V77" s="513"/>
    </row>
    <row r="78" spans="1:22" s="22" customFormat="1" x14ac:dyDescent="0.2">
      <c r="A78" s="367"/>
      <c r="B78" s="367"/>
      <c r="C78" s="24"/>
      <c r="D78" s="24"/>
      <c r="E78" s="6"/>
      <c r="F78" s="6"/>
      <c r="G78" s="2"/>
      <c r="H78" s="5"/>
      <c r="I78" s="5"/>
      <c r="J78" s="2"/>
      <c r="K78" s="23"/>
      <c r="L78" s="23"/>
      <c r="M78" s="2"/>
      <c r="N78" s="23"/>
      <c r="O78" s="3"/>
      <c r="P78" s="2"/>
      <c r="Q78" s="2"/>
      <c r="R78" s="313"/>
      <c r="S78" s="313"/>
      <c r="V78" s="513"/>
    </row>
    <row r="79" spans="1:22" s="22" customFormat="1" x14ac:dyDescent="0.2">
      <c r="A79" s="367"/>
      <c r="B79" s="367"/>
      <c r="C79" s="24"/>
      <c r="D79" s="24"/>
      <c r="E79" s="6"/>
      <c r="F79" s="6"/>
      <c r="G79" s="2"/>
      <c r="H79" s="5"/>
      <c r="I79" s="5"/>
      <c r="J79" s="2"/>
      <c r="K79" s="23"/>
      <c r="L79" s="23"/>
      <c r="M79" s="2"/>
      <c r="N79" s="23"/>
      <c r="O79" s="3"/>
      <c r="P79" s="2"/>
      <c r="Q79" s="2"/>
      <c r="R79" s="313"/>
      <c r="S79" s="313"/>
      <c r="V79" s="513"/>
    </row>
    <row r="80" spans="1:22" s="22" customFormat="1" x14ac:dyDescent="0.2">
      <c r="A80" s="367"/>
      <c r="B80" s="367"/>
      <c r="C80" s="24"/>
      <c r="D80" s="24"/>
      <c r="E80" s="6"/>
      <c r="F80" s="6"/>
      <c r="G80" s="2"/>
      <c r="H80" s="5"/>
      <c r="I80" s="5"/>
      <c r="J80" s="2"/>
      <c r="K80" s="23"/>
      <c r="L80" s="23"/>
      <c r="M80" s="2"/>
      <c r="N80" s="23"/>
      <c r="O80" s="3"/>
      <c r="P80" s="2"/>
      <c r="Q80" s="2"/>
      <c r="R80" s="313"/>
      <c r="S80" s="313"/>
      <c r="V80" s="513"/>
    </row>
    <row r="81" spans="1:22" s="22" customFormat="1" x14ac:dyDescent="0.2">
      <c r="A81" s="367"/>
      <c r="B81" s="367"/>
      <c r="C81" s="24"/>
      <c r="D81" s="24"/>
      <c r="E81" s="6"/>
      <c r="F81" s="6"/>
      <c r="G81" s="2"/>
      <c r="H81" s="5"/>
      <c r="I81" s="5"/>
      <c r="J81" s="2"/>
      <c r="K81" s="23"/>
      <c r="L81" s="23"/>
      <c r="M81" s="2"/>
      <c r="N81" s="23"/>
      <c r="O81" s="3"/>
      <c r="P81" s="2"/>
      <c r="Q81" s="2"/>
      <c r="R81" s="313"/>
      <c r="S81" s="313"/>
      <c r="V81" s="513"/>
    </row>
    <row r="82" spans="1:22" s="22" customFormat="1" x14ac:dyDescent="0.2">
      <c r="A82" s="367"/>
      <c r="B82" s="367"/>
      <c r="C82" s="24"/>
      <c r="D82" s="24"/>
      <c r="E82" s="6"/>
      <c r="F82" s="6"/>
      <c r="G82" s="2"/>
      <c r="H82" s="5"/>
      <c r="I82" s="5"/>
      <c r="J82" s="2"/>
      <c r="K82" s="23"/>
      <c r="L82" s="23"/>
      <c r="M82" s="2"/>
      <c r="N82" s="23"/>
      <c r="O82" s="3"/>
      <c r="P82" s="2"/>
      <c r="Q82" s="2"/>
      <c r="R82" s="313"/>
      <c r="S82" s="313"/>
      <c r="V82" s="513"/>
    </row>
    <row r="83" spans="1:22" s="22" customFormat="1" x14ac:dyDescent="0.2">
      <c r="A83" s="367"/>
      <c r="B83" s="367"/>
      <c r="C83" s="24"/>
      <c r="D83" s="24"/>
      <c r="E83" s="6"/>
      <c r="F83" s="6"/>
      <c r="G83" s="2"/>
      <c r="H83" s="5"/>
      <c r="I83" s="5"/>
      <c r="J83" s="2"/>
      <c r="K83" s="23"/>
      <c r="L83" s="23"/>
      <c r="M83" s="2"/>
      <c r="N83" s="23"/>
      <c r="O83" s="3"/>
      <c r="P83" s="2"/>
      <c r="Q83" s="2"/>
      <c r="R83" s="313"/>
      <c r="S83" s="313"/>
      <c r="V83" s="513"/>
    </row>
    <row r="84" spans="1:22" s="22" customFormat="1" x14ac:dyDescent="0.2">
      <c r="A84" s="367"/>
      <c r="B84" s="367"/>
      <c r="C84" s="24"/>
      <c r="D84" s="24"/>
      <c r="E84" s="6"/>
      <c r="F84" s="6"/>
      <c r="G84" s="2"/>
      <c r="H84" s="5"/>
      <c r="I84" s="5"/>
      <c r="J84" s="2"/>
      <c r="K84" s="23"/>
      <c r="L84" s="23"/>
      <c r="M84" s="2"/>
      <c r="N84" s="23"/>
      <c r="O84" s="3"/>
      <c r="P84" s="2"/>
      <c r="Q84" s="2"/>
      <c r="R84" s="313"/>
      <c r="S84" s="313"/>
      <c r="V84" s="513"/>
    </row>
    <row r="85" spans="1:22" s="22" customFormat="1" x14ac:dyDescent="0.2">
      <c r="A85" s="367"/>
      <c r="B85" s="367"/>
      <c r="C85" s="24"/>
      <c r="D85" s="24"/>
      <c r="E85" s="6"/>
      <c r="F85" s="6"/>
      <c r="G85" s="2"/>
      <c r="H85" s="5"/>
      <c r="I85" s="5"/>
      <c r="J85" s="2"/>
      <c r="K85" s="23"/>
      <c r="L85" s="23"/>
      <c r="M85" s="2"/>
      <c r="N85" s="23"/>
      <c r="O85" s="3"/>
      <c r="P85" s="2"/>
      <c r="Q85" s="2"/>
      <c r="R85" s="313"/>
      <c r="S85" s="313"/>
      <c r="V85" s="513"/>
    </row>
    <row r="86" spans="1:22" s="22" customFormat="1" x14ac:dyDescent="0.2">
      <c r="A86" s="367"/>
      <c r="B86" s="367"/>
      <c r="C86" s="24"/>
      <c r="D86" s="24"/>
      <c r="E86" s="6"/>
      <c r="F86" s="6"/>
      <c r="G86" s="2"/>
      <c r="H86" s="5"/>
      <c r="I86" s="5"/>
      <c r="J86" s="2"/>
      <c r="K86" s="23"/>
      <c r="L86" s="23"/>
      <c r="M86" s="2"/>
      <c r="N86" s="23"/>
      <c r="O86" s="3"/>
      <c r="P86" s="2"/>
      <c r="Q86" s="2"/>
      <c r="R86" s="313"/>
      <c r="S86" s="313"/>
      <c r="V86" s="513"/>
    </row>
    <row r="87" spans="1:22" s="22" customFormat="1" x14ac:dyDescent="0.2">
      <c r="A87" s="367"/>
      <c r="B87" s="367"/>
      <c r="C87" s="24"/>
      <c r="D87" s="24"/>
      <c r="E87" s="6"/>
      <c r="F87" s="6"/>
      <c r="G87" s="2"/>
      <c r="H87" s="5"/>
      <c r="I87" s="5"/>
      <c r="J87" s="2"/>
      <c r="K87" s="23"/>
      <c r="L87" s="23"/>
      <c r="M87" s="2"/>
      <c r="N87" s="23"/>
      <c r="O87" s="3"/>
      <c r="P87" s="2"/>
      <c r="Q87" s="2"/>
      <c r="R87" s="313"/>
      <c r="S87" s="313"/>
      <c r="V87" s="513"/>
    </row>
    <row r="88" spans="1:22" s="22" customFormat="1" x14ac:dyDescent="0.2">
      <c r="A88" s="367"/>
      <c r="B88" s="367"/>
      <c r="C88" s="24"/>
      <c r="D88" s="24"/>
      <c r="E88" s="6"/>
      <c r="F88" s="6"/>
      <c r="G88" s="2"/>
      <c r="H88" s="5"/>
      <c r="I88" s="5"/>
      <c r="J88" s="2"/>
      <c r="K88" s="23"/>
      <c r="L88" s="23"/>
      <c r="M88" s="2"/>
      <c r="N88" s="23"/>
      <c r="O88" s="3"/>
      <c r="P88" s="2"/>
      <c r="Q88" s="2"/>
      <c r="R88" s="313"/>
      <c r="S88" s="313"/>
      <c r="V88" s="513"/>
    </row>
    <row r="89" spans="1:22" s="22" customFormat="1" x14ac:dyDescent="0.2">
      <c r="A89" s="367"/>
      <c r="B89" s="367"/>
      <c r="C89" s="24"/>
      <c r="D89" s="24"/>
      <c r="E89" s="6"/>
      <c r="F89" s="6"/>
      <c r="G89" s="2"/>
      <c r="H89" s="5"/>
      <c r="I89" s="5"/>
      <c r="J89" s="2"/>
      <c r="K89" s="23"/>
      <c r="L89" s="23"/>
      <c r="M89" s="2"/>
      <c r="N89" s="23"/>
      <c r="O89" s="3"/>
      <c r="P89" s="2"/>
      <c r="Q89" s="2"/>
      <c r="R89" s="313"/>
      <c r="S89" s="313"/>
      <c r="V89" s="513"/>
    </row>
    <row r="90" spans="1:22" s="22" customFormat="1" x14ac:dyDescent="0.2">
      <c r="A90" s="367"/>
      <c r="B90" s="367"/>
      <c r="C90" s="24"/>
      <c r="D90" s="24"/>
      <c r="E90" s="6"/>
      <c r="F90" s="6"/>
      <c r="G90" s="2"/>
      <c r="H90" s="5"/>
      <c r="I90" s="5"/>
      <c r="J90" s="2"/>
      <c r="K90" s="23"/>
      <c r="L90" s="23"/>
      <c r="M90" s="2"/>
      <c r="N90" s="23"/>
      <c r="O90" s="3"/>
      <c r="P90" s="2"/>
      <c r="Q90" s="2"/>
      <c r="R90" s="313"/>
      <c r="S90" s="313"/>
      <c r="V90" s="513"/>
    </row>
    <row r="91" spans="1:22" s="22" customFormat="1" x14ac:dyDescent="0.2">
      <c r="A91" s="367"/>
      <c r="B91" s="367"/>
      <c r="C91" s="24"/>
      <c r="D91" s="24"/>
      <c r="E91" s="6"/>
      <c r="F91" s="6"/>
      <c r="G91" s="2"/>
      <c r="H91" s="5"/>
      <c r="I91" s="5"/>
      <c r="J91" s="2"/>
      <c r="K91" s="23"/>
      <c r="L91" s="23"/>
      <c r="M91" s="2"/>
      <c r="N91" s="23"/>
      <c r="O91" s="3"/>
      <c r="P91" s="2"/>
      <c r="Q91" s="2"/>
      <c r="R91" s="313"/>
      <c r="S91" s="313"/>
      <c r="V91" s="513"/>
    </row>
    <row r="92" spans="1:22" s="22" customFormat="1" x14ac:dyDescent="0.2">
      <c r="A92" s="367"/>
      <c r="B92" s="367"/>
      <c r="C92" s="24"/>
      <c r="D92" s="24"/>
      <c r="E92" s="6"/>
      <c r="F92" s="6"/>
      <c r="G92" s="2"/>
      <c r="H92" s="5"/>
      <c r="I92" s="5"/>
      <c r="J92" s="2"/>
      <c r="K92" s="23"/>
      <c r="L92" s="23"/>
      <c r="M92" s="2"/>
      <c r="N92" s="23"/>
      <c r="O92" s="3"/>
      <c r="P92" s="2"/>
      <c r="Q92" s="2"/>
      <c r="R92" s="313"/>
      <c r="S92" s="313"/>
      <c r="V92" s="513"/>
    </row>
    <row r="93" spans="1:22" s="22" customFormat="1" x14ac:dyDescent="0.2">
      <c r="A93" s="367"/>
      <c r="B93" s="367"/>
      <c r="C93" s="24"/>
      <c r="D93" s="24"/>
      <c r="E93" s="6"/>
      <c r="F93" s="6"/>
      <c r="G93" s="2"/>
      <c r="H93" s="5"/>
      <c r="I93" s="5"/>
      <c r="J93" s="2"/>
      <c r="K93" s="23"/>
      <c r="L93" s="23"/>
      <c r="M93" s="2"/>
      <c r="N93" s="23"/>
      <c r="O93" s="3"/>
      <c r="P93" s="2"/>
      <c r="Q93" s="2"/>
      <c r="R93" s="313"/>
      <c r="S93" s="313"/>
      <c r="V93" s="513"/>
    </row>
    <row r="94" spans="1:22" s="22" customFormat="1" x14ac:dyDescent="0.2">
      <c r="A94" s="367"/>
      <c r="B94" s="367"/>
      <c r="C94" s="24"/>
      <c r="D94" s="24"/>
      <c r="E94" s="6"/>
      <c r="F94" s="6"/>
      <c r="G94" s="2"/>
      <c r="H94" s="5"/>
      <c r="I94" s="5"/>
      <c r="J94" s="2"/>
      <c r="K94" s="23"/>
      <c r="L94" s="23"/>
      <c r="M94" s="2"/>
      <c r="N94" s="23"/>
      <c r="O94" s="3"/>
      <c r="P94" s="2"/>
      <c r="Q94" s="2"/>
      <c r="R94" s="313"/>
      <c r="S94" s="313"/>
      <c r="V94" s="513"/>
    </row>
    <row r="95" spans="1:22" s="22" customFormat="1" x14ac:dyDescent="0.2">
      <c r="A95" s="367"/>
      <c r="B95" s="367"/>
      <c r="C95" s="24"/>
      <c r="D95" s="24"/>
      <c r="E95" s="6"/>
      <c r="F95" s="6"/>
      <c r="G95" s="2"/>
      <c r="H95" s="5"/>
      <c r="I95" s="5"/>
      <c r="J95" s="2"/>
      <c r="K95" s="23"/>
      <c r="L95" s="23"/>
      <c r="M95" s="2"/>
      <c r="N95" s="23"/>
      <c r="O95" s="3"/>
      <c r="P95" s="2"/>
      <c r="Q95" s="2"/>
      <c r="R95" s="313"/>
      <c r="S95" s="313"/>
      <c r="V95" s="513"/>
    </row>
    <row r="96" spans="1:22" s="22" customFormat="1" x14ac:dyDescent="0.2">
      <c r="A96" s="367"/>
      <c r="B96" s="367"/>
      <c r="C96" s="7"/>
      <c r="D96" s="7"/>
      <c r="E96" s="6"/>
      <c r="F96" s="6"/>
      <c r="G96" s="2"/>
      <c r="H96" s="5"/>
      <c r="I96" s="5"/>
      <c r="J96" s="2"/>
      <c r="K96" s="4"/>
      <c r="L96" s="4"/>
      <c r="M96" s="2"/>
      <c r="N96" s="4"/>
      <c r="O96" s="3"/>
      <c r="P96" s="2"/>
      <c r="Q96" s="2"/>
      <c r="R96" s="313"/>
      <c r="S96" s="313"/>
      <c r="V96" s="513"/>
    </row>
    <row r="97" spans="1:22" x14ac:dyDescent="0.2">
      <c r="C97" s="306"/>
      <c r="D97" s="306"/>
      <c r="E97" s="307"/>
      <c r="F97" s="307"/>
      <c r="G97" s="308"/>
      <c r="H97" s="309"/>
      <c r="I97" s="309"/>
      <c r="J97" s="308"/>
      <c r="K97" s="310"/>
      <c r="L97" s="310"/>
      <c r="M97" s="308"/>
      <c r="N97" s="310"/>
      <c r="O97" s="311"/>
      <c r="P97" s="308"/>
      <c r="Q97" s="308"/>
    </row>
    <row r="98" spans="1:22" s="293" customFormat="1" ht="15" x14ac:dyDescent="0.25">
      <c r="A98" s="284"/>
      <c r="B98" s="284"/>
      <c r="C98" s="14"/>
      <c r="D98" s="14"/>
      <c r="E98" s="13"/>
      <c r="F98" s="13"/>
      <c r="G98" s="9"/>
      <c r="H98" s="12"/>
      <c r="I98" s="12"/>
      <c r="J98" s="9"/>
      <c r="K98" s="11"/>
      <c r="L98" s="11"/>
      <c r="M98" s="9"/>
      <c r="N98" s="11"/>
      <c r="O98" s="10"/>
      <c r="P98" s="9"/>
      <c r="Q98" s="9"/>
      <c r="R98" s="373"/>
      <c r="S98" s="373"/>
      <c r="V98" s="514"/>
    </row>
    <row r="99" spans="1:22" s="8" customFormat="1" ht="15" x14ac:dyDescent="0.25">
      <c r="A99" s="370"/>
      <c r="B99" s="370"/>
      <c r="C99" s="7"/>
      <c r="D99" s="7"/>
      <c r="E99" s="6"/>
      <c r="F99" s="6"/>
      <c r="G99" s="2"/>
      <c r="H99" s="5"/>
      <c r="I99" s="5"/>
      <c r="J99" s="2"/>
      <c r="K99" s="4"/>
      <c r="L99" s="4"/>
      <c r="M99" s="2"/>
      <c r="N99" s="4"/>
      <c r="O99" s="3"/>
      <c r="P99" s="2"/>
      <c r="Q99" s="2"/>
      <c r="R99" s="374"/>
      <c r="S99" s="374"/>
      <c r="V99" s="515"/>
    </row>
  </sheetData>
  <mergeCells count="10">
    <mergeCell ref="C43:J43"/>
    <mergeCell ref="K43:Q43"/>
    <mergeCell ref="C13:Q13"/>
    <mergeCell ref="C29:Q29"/>
    <mergeCell ref="C2:G6"/>
    <mergeCell ref="H3:Q3"/>
    <mergeCell ref="H4:Q4"/>
    <mergeCell ref="H5:Q5"/>
    <mergeCell ref="E10:E11"/>
    <mergeCell ref="C40:Q41"/>
  </mergeCells>
  <phoneticPr fontId="34" type="noConversion"/>
  <printOptions horizontalCentered="1"/>
  <pageMargins left="0.39370078740157483" right="0.39370078740157483" top="0.74803149606299213" bottom="0.74803149606299213" header="0.31496062992125984" footer="0.31496062992125984"/>
  <pageSetup paperSize="9" scale="58" fitToHeight="0"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150"/>
  <sheetViews>
    <sheetView view="pageBreakPreview" topLeftCell="A22" zoomScale="80" zoomScaleNormal="100" zoomScaleSheetLayoutView="80" workbookViewId="0">
      <selection activeCell="D52" sqref="D52"/>
    </sheetView>
  </sheetViews>
  <sheetFormatPr baseColWidth="10" defaultColWidth="12.7109375" defaultRowHeight="14.25" x14ac:dyDescent="0.2"/>
  <cols>
    <col min="1" max="1" width="1.7109375" style="1" customWidth="1"/>
    <col min="2" max="2" width="2" style="1" customWidth="1"/>
    <col min="3" max="3" width="5.42578125" style="1" customWidth="1"/>
    <col min="4" max="4" width="10.5703125" style="1" customWidth="1"/>
    <col min="5" max="5" width="9.140625" style="1" customWidth="1"/>
    <col min="6" max="6" width="8.7109375" style="1" customWidth="1"/>
    <col min="7" max="7" width="11.85546875" style="1" customWidth="1"/>
    <col min="8" max="8" width="2.5703125" style="1" customWidth="1"/>
    <col min="9" max="9" width="11" style="1" customWidth="1"/>
    <col min="10" max="10" width="8" style="1" customWidth="1"/>
    <col min="11" max="11" width="7.140625" style="1" customWidth="1"/>
    <col min="12" max="12" width="9.42578125" style="1" customWidth="1"/>
    <col min="13" max="13" width="13.85546875" style="1" customWidth="1"/>
    <col min="14" max="14" width="10.28515625" style="1" customWidth="1"/>
    <col min="15" max="15" width="2.42578125" style="1" customWidth="1"/>
    <col min="16" max="16384" width="12.7109375" style="1"/>
  </cols>
  <sheetData>
    <row r="1" spans="1:16" ht="15" thickBot="1" x14ac:dyDescent="0.25">
      <c r="A1" s="255"/>
      <c r="B1" s="255"/>
      <c r="C1" s="255"/>
      <c r="D1" s="255"/>
      <c r="E1" s="255"/>
      <c r="F1" s="255"/>
      <c r="G1" s="255"/>
      <c r="H1" s="255"/>
      <c r="I1" s="255"/>
      <c r="J1" s="255"/>
      <c r="K1" s="255"/>
      <c r="L1" s="255"/>
      <c r="M1" s="255"/>
      <c r="N1" s="255"/>
      <c r="O1" s="255"/>
    </row>
    <row r="2" spans="1:16" ht="12" customHeight="1" thickBot="1" x14ac:dyDescent="0.25">
      <c r="A2" s="255"/>
      <c r="B2" s="256"/>
      <c r="C2" s="257"/>
      <c r="D2" s="257"/>
      <c r="E2" s="257"/>
      <c r="F2" s="257"/>
      <c r="G2" s="257"/>
      <c r="H2" s="257"/>
      <c r="I2" s="257"/>
      <c r="J2" s="257"/>
      <c r="K2" s="257"/>
      <c r="L2" s="257"/>
      <c r="M2" s="257"/>
      <c r="N2" s="257"/>
      <c r="O2" s="258"/>
    </row>
    <row r="3" spans="1:16" s="259" customFormat="1" ht="18.75" customHeight="1" x14ac:dyDescent="0.25">
      <c r="B3" s="397"/>
      <c r="C3" s="447"/>
      <c r="D3" s="448"/>
      <c r="E3" s="449"/>
      <c r="F3" s="449"/>
      <c r="G3" s="540" t="s">
        <v>148</v>
      </c>
      <c r="H3" s="540"/>
      <c r="I3" s="540"/>
      <c r="J3" s="540"/>
      <c r="K3" s="540"/>
      <c r="L3" s="540"/>
      <c r="M3" s="540"/>
      <c r="N3" s="541"/>
      <c r="O3" s="260"/>
    </row>
    <row r="4" spans="1:16" s="259" customFormat="1" ht="18.75" customHeight="1" x14ac:dyDescent="0.25">
      <c r="B4" s="397"/>
      <c r="C4" s="397"/>
      <c r="D4" s="446"/>
      <c r="G4" s="542" t="s">
        <v>137</v>
      </c>
      <c r="H4" s="542"/>
      <c r="I4" s="542"/>
      <c r="J4" s="542"/>
      <c r="K4" s="542"/>
      <c r="L4" s="542"/>
      <c r="M4" s="542"/>
      <c r="N4" s="543"/>
      <c r="O4" s="260"/>
    </row>
    <row r="5" spans="1:16" s="259" customFormat="1" ht="18.75" customHeight="1" x14ac:dyDescent="0.25">
      <c r="B5" s="397"/>
      <c r="C5" s="397"/>
      <c r="D5" s="446"/>
      <c r="G5" s="542" t="s">
        <v>138</v>
      </c>
      <c r="H5" s="542"/>
      <c r="I5" s="542"/>
      <c r="J5" s="542"/>
      <c r="K5" s="542"/>
      <c r="L5" s="542"/>
      <c r="M5" s="542"/>
      <c r="N5" s="543"/>
      <c r="O5" s="260"/>
    </row>
    <row r="6" spans="1:16" s="259" customFormat="1" ht="18.75" customHeight="1" thickBot="1" x14ac:dyDescent="0.3">
      <c r="B6" s="397"/>
      <c r="C6" s="450"/>
      <c r="D6" s="451"/>
      <c r="E6" s="262"/>
      <c r="F6" s="262"/>
      <c r="G6" s="261"/>
      <c r="H6" s="261"/>
      <c r="I6" s="262"/>
      <c r="J6" s="262"/>
      <c r="K6" s="262"/>
      <c r="L6" s="261"/>
      <c r="M6" s="261"/>
      <c r="N6" s="263"/>
      <c r="O6" s="260"/>
    </row>
    <row r="7" spans="1:16" ht="6.75" customHeight="1" thickBot="1" x14ac:dyDescent="0.25">
      <c r="A7" s="255"/>
      <c r="B7" s="264"/>
      <c r="C7" s="265"/>
      <c r="D7" s="265"/>
      <c r="E7" s="265"/>
      <c r="F7" s="265"/>
      <c r="G7" s="265"/>
      <c r="H7" s="265"/>
      <c r="I7" s="265"/>
      <c r="J7" s="265"/>
      <c r="K7" s="265"/>
      <c r="L7" s="265"/>
      <c r="M7" s="255"/>
      <c r="N7" s="255"/>
      <c r="O7" s="266"/>
    </row>
    <row r="8" spans="1:16" ht="41.25" customHeight="1" thickBot="1" x14ac:dyDescent="0.25">
      <c r="A8" s="255"/>
      <c r="B8" s="264"/>
      <c r="C8" s="503" t="s">
        <v>62</v>
      </c>
      <c r="D8" s="504"/>
      <c r="E8" s="589" t="s">
        <v>103</v>
      </c>
      <c r="F8" s="589"/>
      <c r="G8" s="589"/>
      <c r="H8" s="589"/>
      <c r="I8" s="590"/>
      <c r="J8" s="505"/>
      <c r="K8" s="503" t="s">
        <v>22</v>
      </c>
      <c r="L8" s="338">
        <f>+'RUTA CRÍTICA'!O8+1</f>
        <v>3</v>
      </c>
      <c r="M8" s="506" t="s">
        <v>16</v>
      </c>
      <c r="N8" s="271">
        <f>+'RUTA CRÍTICA'!Q8</f>
        <v>2</v>
      </c>
      <c r="O8" s="266"/>
    </row>
    <row r="9" spans="1:16" ht="10.5" customHeight="1" x14ac:dyDescent="0.2">
      <c r="A9" s="255"/>
      <c r="B9" s="264"/>
      <c r="C9" s="265"/>
      <c r="D9" s="265"/>
      <c r="E9" s="265"/>
      <c r="F9" s="265"/>
      <c r="G9" s="265"/>
      <c r="H9" s="265"/>
      <c r="I9" s="265"/>
      <c r="J9" s="265"/>
      <c r="K9" s="265"/>
      <c r="L9" s="265"/>
      <c r="M9" s="265"/>
      <c r="N9" s="265"/>
      <c r="O9" s="266"/>
    </row>
    <row r="10" spans="1:16" ht="10.5" customHeight="1" x14ac:dyDescent="0.2">
      <c r="A10" s="255"/>
      <c r="B10" s="264"/>
      <c r="C10" s="265"/>
      <c r="D10" s="265"/>
      <c r="E10" s="265"/>
      <c r="F10" s="265"/>
      <c r="G10" s="265"/>
      <c r="H10" s="265"/>
      <c r="I10" s="265"/>
      <c r="J10" s="265"/>
      <c r="K10" s="265"/>
      <c r="L10" s="265"/>
      <c r="M10" s="265"/>
      <c r="N10" s="265"/>
      <c r="O10" s="266"/>
    </row>
    <row r="11" spans="1:16" ht="15.75" x14ac:dyDescent="0.2">
      <c r="A11" s="255"/>
      <c r="B11" s="264"/>
      <c r="C11" s="410"/>
      <c r="D11" s="410"/>
      <c r="E11" s="410"/>
      <c r="F11" s="410"/>
      <c r="G11" s="410"/>
      <c r="H11" s="410"/>
      <c r="I11" s="508">
        <v>1</v>
      </c>
      <c r="J11" s="507" t="s">
        <v>61</v>
      </c>
      <c r="K11" s="507"/>
      <c r="L11" s="507"/>
      <c r="M11" s="442">
        <v>15.75</v>
      </c>
      <c r="N11" s="255" t="s">
        <v>67</v>
      </c>
      <c r="O11" s="266"/>
      <c r="P11" s="1">
        <f>+P12*0.063</f>
        <v>15.75</v>
      </c>
    </row>
    <row r="12" spans="1:16" ht="14.25" customHeight="1" x14ac:dyDescent="0.2">
      <c r="A12" s="255"/>
      <c r="B12" s="264"/>
      <c r="C12" s="255"/>
      <c r="D12" s="255"/>
      <c r="E12" s="255"/>
      <c r="F12" s="255"/>
      <c r="G12" s="410"/>
      <c r="H12" s="410"/>
      <c r="I12" s="255"/>
      <c r="J12" s="255"/>
      <c r="K12" s="255"/>
      <c r="L12" s="399"/>
      <c r="M12" s="409">
        <f>+M11/0.06309</f>
        <v>249.64336661911557</v>
      </c>
      <c r="N12" s="255" t="s">
        <v>60</v>
      </c>
      <c r="O12" s="266"/>
      <c r="P12" s="1">
        <v>250</v>
      </c>
    </row>
    <row r="13" spans="1:16" ht="4.9000000000000004" customHeight="1" x14ac:dyDescent="0.2">
      <c r="A13" s="255"/>
      <c r="B13" s="264"/>
      <c r="C13" s="255"/>
      <c r="D13" s="255"/>
      <c r="E13" s="255"/>
      <c r="F13" s="255"/>
      <c r="G13" s="255"/>
      <c r="H13" s="255"/>
      <c r="I13" s="255"/>
      <c r="J13" s="255"/>
      <c r="K13" s="255"/>
      <c r="L13" s="399"/>
      <c r="M13" s="409"/>
      <c r="N13" s="255"/>
      <c r="O13" s="266"/>
    </row>
    <row r="14" spans="1:16" ht="21.95" hidden="1" customHeight="1" x14ac:dyDescent="0.2">
      <c r="A14" s="255"/>
      <c r="B14" s="264"/>
      <c r="C14" s="282">
        <v>1</v>
      </c>
      <c r="D14" s="412" t="s">
        <v>97</v>
      </c>
      <c r="E14" s="255"/>
      <c r="F14" s="255"/>
      <c r="G14" s="255"/>
      <c r="H14" s="255"/>
      <c r="I14" s="399"/>
      <c r="J14" s="399"/>
      <c r="K14" s="399"/>
      <c r="L14" s="411"/>
      <c r="M14" s="282" t="s">
        <v>38</v>
      </c>
      <c r="N14" s="399"/>
      <c r="O14" s="266"/>
    </row>
    <row r="15" spans="1:16" ht="6.95" hidden="1" customHeight="1" x14ac:dyDescent="0.2">
      <c r="A15" s="255"/>
      <c r="B15" s="264"/>
      <c r="C15" s="282"/>
      <c r="D15" s="412"/>
      <c r="E15" s="255"/>
      <c r="F15" s="255"/>
      <c r="G15" s="255"/>
      <c r="H15" s="255"/>
      <c r="I15" s="399"/>
      <c r="J15" s="399"/>
      <c r="K15" s="399"/>
      <c r="L15" s="413"/>
      <c r="M15" s="282"/>
      <c r="N15" s="399"/>
      <c r="O15" s="266"/>
    </row>
    <row r="16" spans="1:16" ht="21.95" hidden="1" customHeight="1" x14ac:dyDescent="0.2">
      <c r="A16" s="255"/>
      <c r="B16" s="264"/>
      <c r="C16" s="282">
        <v>2</v>
      </c>
      <c r="D16" s="412" t="s">
        <v>94</v>
      </c>
      <c r="E16" s="255"/>
      <c r="F16" s="255"/>
      <c r="G16" s="255"/>
      <c r="H16" s="255"/>
      <c r="I16" s="399"/>
      <c r="J16" s="399"/>
      <c r="K16" s="399"/>
      <c r="L16" s="411"/>
      <c r="M16" s="282" t="s">
        <v>38</v>
      </c>
      <c r="N16" s="399"/>
      <c r="O16" s="266"/>
    </row>
    <row r="17" spans="1:18" ht="6.95" hidden="1" customHeight="1" x14ac:dyDescent="0.2">
      <c r="A17" s="255"/>
      <c r="B17" s="264"/>
      <c r="C17" s="282"/>
      <c r="D17" s="412"/>
      <c r="E17" s="255"/>
      <c r="F17" s="255"/>
      <c r="G17" s="255"/>
      <c r="H17" s="255"/>
      <c r="I17" s="399"/>
      <c r="J17" s="399"/>
      <c r="K17" s="399"/>
      <c r="L17" s="413"/>
      <c r="M17" s="282"/>
      <c r="N17" s="399"/>
      <c r="O17" s="266"/>
    </row>
    <row r="18" spans="1:18" ht="21.95" hidden="1" customHeight="1" x14ac:dyDescent="0.2">
      <c r="A18" s="255"/>
      <c r="B18" s="264"/>
      <c r="C18" s="282">
        <v>3</v>
      </c>
      <c r="D18" s="412" t="s">
        <v>59</v>
      </c>
      <c r="E18" s="255"/>
      <c r="F18" s="255"/>
      <c r="G18" s="255"/>
      <c r="H18" s="255"/>
      <c r="I18" s="399"/>
      <c r="J18" s="399"/>
      <c r="K18" s="399"/>
      <c r="L18" s="411"/>
      <c r="M18" s="282" t="s">
        <v>38</v>
      </c>
      <c r="N18" s="399"/>
      <c r="O18" s="266"/>
    </row>
    <row r="19" spans="1:18" ht="6.95" customHeight="1" x14ac:dyDescent="0.2">
      <c r="A19" s="255"/>
      <c r="B19" s="264"/>
      <c r="C19" s="282"/>
      <c r="D19" s="412"/>
      <c r="E19" s="255"/>
      <c r="F19" s="255"/>
      <c r="G19" s="255"/>
      <c r="H19" s="255"/>
      <c r="I19" s="399"/>
      <c r="J19" s="399"/>
      <c r="K19" s="399"/>
      <c r="L19" s="413"/>
      <c r="M19" s="282"/>
      <c r="N19" s="399"/>
      <c r="O19" s="266"/>
    </row>
    <row r="20" spans="1:18" ht="21.95" customHeight="1" x14ac:dyDescent="0.2">
      <c r="A20" s="255"/>
      <c r="B20" s="264"/>
      <c r="C20" s="508">
        <v>2</v>
      </c>
      <c r="D20" s="507" t="s">
        <v>98</v>
      </c>
      <c r="E20" s="507"/>
      <c r="F20" s="507"/>
      <c r="G20" s="507"/>
      <c r="H20" s="507"/>
      <c r="I20" s="507"/>
      <c r="J20" s="507"/>
      <c r="K20" s="507"/>
      <c r="L20" s="411">
        <f>+'RUTA CRÍTICA'!Q27</f>
        <v>0</v>
      </c>
      <c r="M20" s="282" t="s">
        <v>38</v>
      </c>
      <c r="N20" s="399"/>
      <c r="O20" s="266"/>
    </row>
    <row r="21" spans="1:18" ht="6.95" customHeight="1" x14ac:dyDescent="0.2">
      <c r="A21" s="255"/>
      <c r="B21" s="264"/>
      <c r="C21" s="282"/>
      <c r="D21" s="412"/>
      <c r="E21" s="255"/>
      <c r="F21" s="255"/>
      <c r="G21" s="255"/>
      <c r="H21" s="255"/>
      <c r="I21" s="399"/>
      <c r="J21" s="399"/>
      <c r="K21" s="399"/>
      <c r="L21" s="413"/>
      <c r="M21" s="282"/>
      <c r="N21" s="399"/>
      <c r="O21" s="266"/>
    </row>
    <row r="22" spans="1:18" ht="21.95" customHeight="1" x14ac:dyDescent="0.2">
      <c r="A22" s="255"/>
      <c r="B22" s="264"/>
      <c r="C22" s="508">
        <v>3</v>
      </c>
      <c r="D22" s="507" t="s">
        <v>58</v>
      </c>
      <c r="E22" s="507"/>
      <c r="F22" s="507"/>
      <c r="G22" s="507"/>
      <c r="H22" s="507"/>
      <c r="I22" s="507"/>
      <c r="J22" s="507"/>
      <c r="K22" s="507"/>
      <c r="L22" s="414">
        <v>2</v>
      </c>
      <c r="M22" s="282" t="s">
        <v>38</v>
      </c>
      <c r="N22" s="399"/>
      <c r="O22" s="266"/>
    </row>
    <row r="23" spans="1:18" ht="6.95" customHeight="1" x14ac:dyDescent="0.2">
      <c r="A23" s="255"/>
      <c r="B23" s="264"/>
      <c r="C23" s="282"/>
      <c r="D23" s="412"/>
      <c r="E23" s="255"/>
      <c r="F23" s="255"/>
      <c r="G23" s="255"/>
      <c r="H23" s="255"/>
      <c r="I23" s="399"/>
      <c r="J23" s="399"/>
      <c r="K23" s="399"/>
      <c r="L23" s="282"/>
      <c r="M23" s="282"/>
      <c r="N23" s="399"/>
      <c r="O23" s="266"/>
    </row>
    <row r="24" spans="1:18" ht="21.95" customHeight="1" x14ac:dyDescent="0.2">
      <c r="A24" s="255"/>
      <c r="B24" s="264"/>
      <c r="C24" s="508">
        <v>4</v>
      </c>
      <c r="D24" s="507" t="s">
        <v>57</v>
      </c>
      <c r="E24" s="507"/>
      <c r="F24" s="255"/>
      <c r="G24" s="255"/>
      <c r="H24" s="255"/>
      <c r="I24" s="255"/>
      <c r="J24" s="255"/>
      <c r="K24" s="255"/>
      <c r="L24" s="399"/>
      <c r="M24" s="255"/>
      <c r="N24" s="255"/>
      <c r="O24" s="266"/>
    </row>
    <row r="25" spans="1:18" ht="20.100000000000001" customHeight="1" x14ac:dyDescent="0.2">
      <c r="A25" s="255"/>
      <c r="B25" s="264"/>
      <c r="C25" s="412"/>
      <c r="D25" s="415" t="s">
        <v>56</v>
      </c>
      <c r="E25" s="282"/>
      <c r="F25" s="282"/>
      <c r="G25" s="286" t="s">
        <v>55</v>
      </c>
      <c r="H25" s="286"/>
      <c r="I25" s="443">
        <v>3</v>
      </c>
      <c r="J25" s="282"/>
      <c r="K25" s="282" t="s">
        <v>38</v>
      </c>
      <c r="L25" s="399"/>
      <c r="M25" s="255"/>
      <c r="N25" s="255"/>
      <c r="O25" s="266"/>
    </row>
    <row r="26" spans="1:18" ht="6.95" customHeight="1" x14ac:dyDescent="0.2">
      <c r="A26" s="255"/>
      <c r="B26" s="264"/>
      <c r="C26" s="412"/>
      <c r="D26" s="415"/>
      <c r="E26" s="282"/>
      <c r="F26" s="282"/>
      <c r="G26" s="286"/>
      <c r="H26" s="286"/>
      <c r="I26" s="416"/>
      <c r="J26" s="282"/>
      <c r="K26" s="282"/>
      <c r="L26" s="399"/>
      <c r="M26" s="255"/>
      <c r="N26" s="255"/>
      <c r="O26" s="266"/>
    </row>
    <row r="27" spans="1:18" ht="20.100000000000001" customHeight="1" x14ac:dyDescent="0.2">
      <c r="A27" s="255"/>
      <c r="B27" s="264"/>
      <c r="C27" s="255"/>
      <c r="D27" s="415" t="s">
        <v>54</v>
      </c>
      <c r="E27" s="282"/>
      <c r="F27" s="282"/>
      <c r="G27" s="286" t="s">
        <v>53</v>
      </c>
      <c r="H27" s="286"/>
      <c r="I27" s="443">
        <f>+I25*10</f>
        <v>30</v>
      </c>
      <c r="J27" s="282"/>
      <c r="K27" s="282" t="s">
        <v>38</v>
      </c>
      <c r="L27" s="399"/>
      <c r="M27" s="255"/>
      <c r="N27" s="255"/>
      <c r="O27" s="266"/>
      <c r="Q27" s="1">
        <f>2.5*2.5/(2*9.8)</f>
        <v>0.31887755102040816</v>
      </c>
      <c r="R27" s="1">
        <f>+Q27*6*0.8</f>
        <v>1.5306122448979593</v>
      </c>
    </row>
    <row r="28" spans="1:18" ht="6.95" customHeight="1" x14ac:dyDescent="0.2">
      <c r="A28" s="255"/>
      <c r="B28" s="264"/>
      <c r="C28" s="255"/>
      <c r="D28" s="415"/>
      <c r="E28" s="282"/>
      <c r="F28" s="282"/>
      <c r="G28" s="286"/>
      <c r="H28" s="286"/>
      <c r="I28" s="416"/>
      <c r="J28" s="282"/>
      <c r="K28" s="282"/>
      <c r="L28" s="399"/>
      <c r="M28" s="255"/>
      <c r="N28" s="255"/>
      <c r="O28" s="266"/>
    </row>
    <row r="29" spans="1:18" ht="20.100000000000001" customHeight="1" x14ac:dyDescent="0.2">
      <c r="A29" s="255"/>
      <c r="B29" s="264"/>
      <c r="C29" s="255"/>
      <c r="D29" s="415" t="s">
        <v>52</v>
      </c>
      <c r="E29" s="282"/>
      <c r="F29" s="282"/>
      <c r="G29" s="286" t="s">
        <v>51</v>
      </c>
      <c r="H29" s="286"/>
      <c r="I29" s="414">
        <f>+I25+I27</f>
        <v>33</v>
      </c>
      <c r="J29" s="282"/>
      <c r="K29" s="282" t="s">
        <v>38</v>
      </c>
      <c r="L29" s="399"/>
      <c r="M29" s="255"/>
      <c r="N29" s="255"/>
      <c r="O29" s="266"/>
    </row>
    <row r="30" spans="1:18" ht="9.9499999999999993" customHeight="1" x14ac:dyDescent="0.2">
      <c r="A30" s="255"/>
      <c r="B30" s="264"/>
      <c r="C30" s="255"/>
      <c r="D30" s="255"/>
      <c r="E30" s="255"/>
      <c r="F30" s="255"/>
      <c r="G30" s="255"/>
      <c r="H30" s="255"/>
      <c r="I30" s="255"/>
      <c r="J30" s="255"/>
      <c r="K30" s="255"/>
      <c r="L30" s="399"/>
      <c r="M30" s="255"/>
      <c r="N30" s="255"/>
      <c r="O30" s="266"/>
    </row>
    <row r="31" spans="1:18" ht="20.100000000000001" customHeight="1" x14ac:dyDescent="0.2">
      <c r="A31" s="255"/>
      <c r="B31" s="264"/>
      <c r="C31" s="255"/>
      <c r="D31" s="417" t="s">
        <v>50</v>
      </c>
      <c r="E31" s="444">
        <v>4</v>
      </c>
      <c r="F31" s="418" t="s">
        <v>49</v>
      </c>
      <c r="G31" s="412"/>
      <c r="H31" s="412"/>
      <c r="I31" s="412"/>
      <c r="J31" s="419"/>
      <c r="K31" s="417" t="s">
        <v>48</v>
      </c>
      <c r="L31" s="445">
        <v>120</v>
      </c>
      <c r="M31" s="282"/>
      <c r="N31" s="412"/>
      <c r="O31" s="266"/>
    </row>
    <row r="32" spans="1:18" ht="8.1" customHeight="1" x14ac:dyDescent="0.2">
      <c r="A32" s="255"/>
      <c r="B32" s="264"/>
      <c r="C32" s="255"/>
      <c r="D32" s="417"/>
      <c r="E32" s="420"/>
      <c r="F32" s="418"/>
      <c r="G32" s="412"/>
      <c r="H32" s="412"/>
      <c r="I32" s="412"/>
      <c r="J32" s="419"/>
      <c r="K32" s="417"/>
      <c r="L32" s="420"/>
      <c r="M32" s="412"/>
      <c r="N32" s="412"/>
      <c r="O32" s="266"/>
    </row>
    <row r="33" spans="1:19" ht="20.100000000000001" customHeight="1" x14ac:dyDescent="0.2">
      <c r="A33" s="255"/>
      <c r="B33" s="264"/>
      <c r="C33" s="255"/>
      <c r="D33" s="417" t="s">
        <v>47</v>
      </c>
      <c r="E33" s="421">
        <f>+M11</f>
        <v>15.75</v>
      </c>
      <c r="F33" s="422" t="s">
        <v>67</v>
      </c>
      <c r="G33" s="412"/>
      <c r="H33" s="412"/>
      <c r="I33" s="412"/>
      <c r="J33" s="419"/>
      <c r="K33" s="286" t="s">
        <v>46</v>
      </c>
      <c r="L33" s="411">
        <f>(E33/1000)/(PI()*(E31*0.0254/2)^2)</f>
        <v>1.9426889094932667</v>
      </c>
      <c r="M33" s="282" t="s">
        <v>45</v>
      </c>
      <c r="N33" s="412"/>
      <c r="O33" s="266"/>
    </row>
    <row r="34" spans="1:19" ht="8.1" customHeight="1" x14ac:dyDescent="0.2">
      <c r="A34" s="255"/>
      <c r="B34" s="264"/>
      <c r="C34" s="255"/>
      <c r="D34" s="423"/>
      <c r="E34" s="423"/>
      <c r="F34" s="412"/>
      <c r="G34" s="412"/>
      <c r="H34" s="412"/>
      <c r="I34" s="412"/>
      <c r="J34" s="412"/>
      <c r="K34" s="412"/>
      <c r="L34" s="282"/>
      <c r="M34" s="412"/>
      <c r="N34" s="412"/>
      <c r="O34" s="266"/>
    </row>
    <row r="35" spans="1:19" ht="20.100000000000001" customHeight="1" x14ac:dyDescent="0.2">
      <c r="A35" s="255"/>
      <c r="B35" s="264"/>
      <c r="C35" s="255"/>
      <c r="D35" s="412"/>
      <c r="E35" s="412"/>
      <c r="F35" s="412"/>
      <c r="G35" s="412"/>
      <c r="H35" s="412"/>
      <c r="I35" s="412"/>
      <c r="J35" s="412"/>
      <c r="K35" s="417" t="s">
        <v>44</v>
      </c>
      <c r="L35" s="424">
        <f>(+E33/(280*L31*(+E31*0.0254)^2.63))^1.85</f>
        <v>4.711943055937394E-2</v>
      </c>
      <c r="M35" s="418" t="s">
        <v>43</v>
      </c>
      <c r="N35" s="412"/>
      <c r="O35" s="266"/>
    </row>
    <row r="36" spans="1:19" ht="8.1" customHeight="1" x14ac:dyDescent="0.2">
      <c r="A36" s="255"/>
      <c r="B36" s="264"/>
      <c r="C36" s="255"/>
      <c r="D36" s="412"/>
      <c r="E36" s="412"/>
      <c r="F36" s="412"/>
      <c r="G36" s="412"/>
      <c r="H36" s="412"/>
      <c r="I36" s="412"/>
      <c r="J36" s="412"/>
      <c r="K36" s="417"/>
      <c r="L36" s="425"/>
      <c r="M36" s="418"/>
      <c r="N36" s="412"/>
      <c r="O36" s="266"/>
    </row>
    <row r="37" spans="1:19" ht="20.100000000000001" customHeight="1" x14ac:dyDescent="0.2">
      <c r="A37" s="255"/>
      <c r="B37" s="264"/>
      <c r="C37" s="508">
        <v>5</v>
      </c>
      <c r="D37" s="507" t="s">
        <v>95</v>
      </c>
      <c r="E37" s="507"/>
      <c r="F37" s="507"/>
      <c r="G37" s="507"/>
      <c r="H37" s="507"/>
      <c r="I37" s="507"/>
      <c r="J37" s="507"/>
      <c r="K37" s="286" t="s">
        <v>42</v>
      </c>
      <c r="L37" s="421">
        <f>I29*L35</f>
        <v>1.5549412084593399</v>
      </c>
      <c r="M37" s="282" t="s">
        <v>41</v>
      </c>
      <c r="N37" s="399"/>
      <c r="O37" s="266"/>
    </row>
    <row r="38" spans="1:19" ht="8.1" customHeight="1" x14ac:dyDescent="0.2">
      <c r="A38" s="255"/>
      <c r="B38" s="264"/>
      <c r="C38" s="255"/>
      <c r="D38" s="255"/>
      <c r="E38" s="255"/>
      <c r="F38" s="255"/>
      <c r="G38" s="255"/>
      <c r="H38" s="255"/>
      <c r="I38" s="255"/>
      <c r="J38" s="255"/>
      <c r="K38" s="255"/>
      <c r="L38" s="399"/>
      <c r="M38" s="255"/>
      <c r="N38" s="255"/>
      <c r="O38" s="266"/>
    </row>
    <row r="39" spans="1:19" ht="20.100000000000001" customHeight="1" x14ac:dyDescent="0.2">
      <c r="A39" s="255"/>
      <c r="B39" s="264"/>
      <c r="C39" s="255"/>
      <c r="D39" s="426" t="s">
        <v>40</v>
      </c>
      <c r="E39" s="280"/>
      <c r="F39" s="280"/>
      <c r="G39" s="280"/>
      <c r="H39" s="280"/>
      <c r="I39" s="280"/>
      <c r="J39" s="255"/>
      <c r="K39" s="255"/>
      <c r="L39" s="411">
        <f>L20+L22+L37</f>
        <v>3.5549412084593399</v>
      </c>
      <c r="M39" s="282" t="s">
        <v>38</v>
      </c>
      <c r="N39" s="255"/>
      <c r="O39" s="266"/>
    </row>
    <row r="40" spans="1:19" ht="8.1" customHeight="1" x14ac:dyDescent="0.2">
      <c r="A40" s="255"/>
      <c r="B40" s="264"/>
      <c r="C40" s="255"/>
      <c r="D40" s="255"/>
      <c r="E40" s="255"/>
      <c r="F40" s="255"/>
      <c r="G40" s="255"/>
      <c r="H40" s="255"/>
      <c r="I40" s="255"/>
      <c r="J40" s="255"/>
      <c r="K40" s="255"/>
      <c r="L40" s="399"/>
      <c r="M40" s="427"/>
      <c r="N40" s="255"/>
      <c r="O40" s="266"/>
    </row>
    <row r="41" spans="1:19" ht="20.100000000000001" customHeight="1" thickBot="1" x14ac:dyDescent="0.25">
      <c r="A41" s="255"/>
      <c r="B41" s="264"/>
      <c r="C41" s="255"/>
      <c r="D41" s="428" t="s">
        <v>39</v>
      </c>
      <c r="E41" s="509"/>
      <c r="F41" s="509"/>
      <c r="G41" s="509"/>
      <c r="H41" s="509"/>
      <c r="I41" s="509"/>
      <c r="J41" s="288"/>
      <c r="K41" s="510"/>
      <c r="L41" s="429">
        <f>CEILING(L39,1)</f>
        <v>4</v>
      </c>
      <c r="M41" s="282" t="s">
        <v>38</v>
      </c>
      <c r="N41" s="255"/>
      <c r="O41" s="266"/>
      <c r="Q41" s="1">
        <f>+L41*1.425</f>
        <v>5.7</v>
      </c>
      <c r="R41" s="1">
        <f>+Q41+20</f>
        <v>25.7</v>
      </c>
      <c r="S41" s="1">
        <f>+R41/1.42</f>
        <v>18.098591549295776</v>
      </c>
    </row>
    <row r="42" spans="1:19" ht="8.1" customHeight="1" x14ac:dyDescent="0.2">
      <c r="A42" s="255"/>
      <c r="B42" s="264"/>
      <c r="C42" s="255"/>
      <c r="D42" s="255"/>
      <c r="E42" s="255"/>
      <c r="F42" s="255"/>
      <c r="G42" s="255"/>
      <c r="H42" s="255"/>
      <c r="I42" s="255"/>
      <c r="J42" s="255"/>
      <c r="K42" s="255"/>
      <c r="L42" s="399"/>
      <c r="M42" s="255"/>
      <c r="N42" s="255"/>
      <c r="O42" s="266"/>
    </row>
    <row r="43" spans="1:19" ht="8.1" customHeight="1" x14ac:dyDescent="0.2">
      <c r="A43" s="255"/>
      <c r="B43" s="264"/>
      <c r="C43" s="255"/>
      <c r="D43" s="255"/>
      <c r="E43" s="255"/>
      <c r="F43" s="255"/>
      <c r="G43" s="255"/>
      <c r="H43" s="255"/>
      <c r="I43" s="255"/>
      <c r="J43" s="255"/>
      <c r="K43" s="255"/>
      <c r="L43" s="399"/>
      <c r="M43" s="255"/>
      <c r="N43" s="255"/>
      <c r="O43" s="266"/>
    </row>
    <row r="44" spans="1:19" ht="20.100000000000001" customHeight="1" x14ac:dyDescent="0.2">
      <c r="A44" s="255"/>
      <c r="B44" s="264"/>
      <c r="C44" s="255"/>
      <c r="D44" s="430" t="s">
        <v>33</v>
      </c>
      <c r="E44" s="431" t="s">
        <v>37</v>
      </c>
      <c r="F44" s="431"/>
      <c r="G44" s="255"/>
      <c r="H44" s="255"/>
      <c r="I44" s="399"/>
      <c r="J44" s="399"/>
      <c r="K44" s="399"/>
      <c r="L44" s="286" t="s">
        <v>36</v>
      </c>
      <c r="M44" s="443">
        <v>50</v>
      </c>
      <c r="N44" s="282" t="s">
        <v>35</v>
      </c>
      <c r="O44" s="266"/>
    </row>
    <row r="45" spans="1:19" ht="20.100000000000001" customHeight="1" x14ac:dyDescent="0.2">
      <c r="A45" s="255"/>
      <c r="B45" s="264"/>
      <c r="C45" s="255"/>
      <c r="D45" s="430"/>
      <c r="E45" s="426" t="s">
        <v>34</v>
      </c>
      <c r="F45" s="426"/>
      <c r="G45" s="255"/>
      <c r="H45" s="255"/>
      <c r="I45" s="255"/>
      <c r="J45" s="255"/>
      <c r="K45" s="255"/>
      <c r="L45" s="399"/>
      <c r="M45" s="255"/>
      <c r="N45" s="255"/>
      <c r="O45" s="266"/>
    </row>
    <row r="46" spans="1:19" ht="20.100000000000001" customHeight="1" x14ac:dyDescent="0.2">
      <c r="A46" s="255"/>
      <c r="B46" s="264"/>
      <c r="C46" s="255"/>
      <c r="D46" s="430"/>
      <c r="E46" s="426"/>
      <c r="F46" s="426"/>
      <c r="G46" s="255"/>
      <c r="H46" s="255"/>
      <c r="I46" s="255"/>
      <c r="J46" s="255"/>
      <c r="K46" s="255"/>
      <c r="L46" s="399"/>
      <c r="M46" s="255"/>
      <c r="N46" s="255"/>
      <c r="O46" s="266"/>
    </row>
    <row r="47" spans="1:19" ht="20.100000000000001" customHeight="1" x14ac:dyDescent="0.2">
      <c r="A47" s="255"/>
      <c r="B47" s="264"/>
      <c r="C47" s="255"/>
      <c r="D47" s="430" t="s">
        <v>33</v>
      </c>
      <c r="E47" s="413">
        <f>+M11</f>
        <v>15.75</v>
      </c>
      <c r="F47" s="431" t="s">
        <v>32</v>
      </c>
      <c r="G47" s="432">
        <f>+L41</f>
        <v>4</v>
      </c>
      <c r="H47" s="433" t="s">
        <v>31</v>
      </c>
      <c r="I47" s="434">
        <f>M11*L41/(76*M44/100)</f>
        <v>1.6578947368421053</v>
      </c>
      <c r="J47" s="399"/>
      <c r="K47" s="255"/>
      <c r="L47" s="281" t="s">
        <v>30</v>
      </c>
      <c r="M47" s="435">
        <f>CEILING(I47,1)</f>
        <v>2</v>
      </c>
      <c r="N47" s="436" t="s">
        <v>29</v>
      </c>
      <c r="O47" s="266"/>
    </row>
    <row r="48" spans="1:19" ht="20.100000000000001" customHeight="1" x14ac:dyDescent="0.2">
      <c r="A48" s="255"/>
      <c r="B48" s="264"/>
      <c r="C48" s="255"/>
      <c r="D48" s="255"/>
      <c r="E48" s="282">
        <v>76</v>
      </c>
      <c r="F48" s="426" t="s">
        <v>28</v>
      </c>
      <c r="G48" s="282">
        <f>M44</f>
        <v>50</v>
      </c>
      <c r="H48" s="282"/>
      <c r="I48" s="255"/>
      <c r="J48" s="255"/>
      <c r="K48" s="255"/>
      <c r="L48" s="399"/>
      <c r="M48" s="255"/>
      <c r="N48" s="255"/>
      <c r="O48" s="266"/>
    </row>
    <row r="49" spans="1:17" ht="30" customHeight="1" x14ac:dyDescent="0.2">
      <c r="A49" s="255"/>
      <c r="B49" s="264"/>
      <c r="C49" s="255"/>
      <c r="D49" s="419" t="s">
        <v>27</v>
      </c>
      <c r="E49" s="437"/>
      <c r="F49" s="438">
        <v>1</v>
      </c>
      <c r="G49" s="419" t="s">
        <v>26</v>
      </c>
      <c r="H49" s="419"/>
      <c r="I49" s="419"/>
      <c r="J49" s="439"/>
      <c r="K49" s="439">
        <v>100</v>
      </c>
      <c r="L49" s="419" t="s">
        <v>25</v>
      </c>
      <c r="M49" s="419"/>
      <c r="N49" s="255"/>
      <c r="O49" s="266"/>
    </row>
    <row r="50" spans="1:17" ht="30" customHeight="1" x14ac:dyDescent="0.2">
      <c r="A50" s="255"/>
      <c r="B50" s="264"/>
      <c r="C50" s="255"/>
      <c r="D50" s="419"/>
      <c r="E50" s="437"/>
      <c r="F50" s="438">
        <v>1</v>
      </c>
      <c r="G50" s="419" t="s">
        <v>26</v>
      </c>
      <c r="H50" s="419"/>
      <c r="I50" s="419"/>
      <c r="J50" s="439"/>
      <c r="K50" s="439">
        <v>10</v>
      </c>
      <c r="L50" s="419" t="s">
        <v>25</v>
      </c>
      <c r="M50" s="419"/>
      <c r="N50" s="255"/>
      <c r="O50" s="266"/>
      <c r="Q50" s="1">
        <f>+E47*0.1</f>
        <v>1.5750000000000002</v>
      </c>
    </row>
    <row r="51" spans="1:17" s="22" customFormat="1" ht="12" customHeight="1" thickBot="1" x14ac:dyDescent="0.25">
      <c r="A51" s="367"/>
      <c r="B51" s="368"/>
      <c r="C51" s="406"/>
      <c r="D51" s="406"/>
      <c r="E51" s="406"/>
      <c r="F51" s="406"/>
      <c r="G51" s="406"/>
      <c r="H51" s="406"/>
      <c r="I51" s="406"/>
      <c r="J51" s="406"/>
      <c r="K51" s="406"/>
      <c r="L51" s="406"/>
      <c r="M51" s="406"/>
      <c r="N51" s="406"/>
      <c r="O51" s="407"/>
    </row>
    <row r="52" spans="1:17" s="22" customFormat="1" ht="15" thickBot="1" x14ac:dyDescent="0.25">
      <c r="A52" s="367"/>
      <c r="B52" s="367"/>
      <c r="C52" s="367"/>
      <c r="D52" s="367"/>
      <c r="E52" s="367"/>
      <c r="F52" s="367"/>
      <c r="G52" s="367"/>
      <c r="H52" s="367"/>
      <c r="I52" s="367"/>
      <c r="J52" s="367"/>
      <c r="K52" s="367"/>
      <c r="L52" s="367"/>
      <c r="M52" s="367"/>
      <c r="N52" s="367"/>
      <c r="O52" s="367"/>
    </row>
    <row r="53" spans="1:17" s="22" customFormat="1" ht="15.75" thickBot="1" x14ac:dyDescent="0.3">
      <c r="A53" s="367"/>
      <c r="B53" s="289" t="s">
        <v>0</v>
      </c>
      <c r="C53" s="440"/>
      <c r="D53" s="440"/>
      <c r="E53" s="440"/>
      <c r="F53" s="440"/>
      <c r="G53" s="440"/>
      <c r="H53" s="440"/>
      <c r="I53" s="291"/>
      <c r="J53" s="291" t="s">
        <v>24</v>
      </c>
      <c r="K53" s="440"/>
      <c r="L53" s="440"/>
      <c r="M53" s="440"/>
      <c r="N53" s="440"/>
      <c r="O53" s="441"/>
    </row>
    <row r="54" spans="1:17" s="22" customFormat="1" x14ac:dyDescent="0.2"/>
    <row r="55" spans="1:17" s="22" customFormat="1" x14ac:dyDescent="0.2"/>
    <row r="56" spans="1:17" s="22" customFormat="1" ht="16.5" customHeight="1" x14ac:dyDescent="0.2"/>
    <row r="57" spans="1:17" s="22" customFormat="1" x14ac:dyDescent="0.2"/>
    <row r="58" spans="1:17" s="22" customFormat="1" x14ac:dyDescent="0.2"/>
    <row r="59" spans="1:17" s="22" customFormat="1" x14ac:dyDescent="0.2"/>
    <row r="60" spans="1:17" s="22" customFormat="1" x14ac:dyDescent="0.2"/>
    <row r="61" spans="1:17" s="22" customFormat="1" x14ac:dyDescent="0.2"/>
    <row r="62" spans="1:17" s="22" customFormat="1" x14ac:dyDescent="0.2"/>
    <row r="63" spans="1:17" s="22" customFormat="1" x14ac:dyDescent="0.2"/>
    <row r="64" spans="1:17" s="22" customFormat="1" x14ac:dyDescent="0.2"/>
    <row r="65" s="22" customFormat="1" x14ac:dyDescent="0.2"/>
    <row r="66" s="22" customFormat="1" x14ac:dyDescent="0.2"/>
    <row r="67" s="22" customFormat="1" x14ac:dyDescent="0.2"/>
    <row r="68" s="22" customFormat="1" x14ac:dyDescent="0.2"/>
    <row r="69" s="22" customFormat="1" x14ac:dyDescent="0.2"/>
    <row r="70" s="22" customFormat="1" x14ac:dyDescent="0.2"/>
    <row r="71" s="22" customFormat="1" x14ac:dyDescent="0.2"/>
    <row r="72" s="22" customFormat="1" x14ac:dyDescent="0.2"/>
    <row r="73" s="22" customFormat="1" x14ac:dyDescent="0.2"/>
    <row r="74" s="22" customFormat="1" x14ac:dyDescent="0.2"/>
    <row r="75" s="22" customFormat="1" x14ac:dyDescent="0.2"/>
    <row r="76" s="22" customFormat="1" x14ac:dyDescent="0.2"/>
    <row r="77" s="22" customFormat="1" x14ac:dyDescent="0.2"/>
    <row r="78" s="22" customFormat="1" x14ac:dyDescent="0.2"/>
    <row r="79" s="22" customFormat="1" x14ac:dyDescent="0.2"/>
    <row r="80" s="22" customFormat="1" x14ac:dyDescent="0.2"/>
    <row r="81" s="22" customFormat="1" x14ac:dyDescent="0.2"/>
    <row r="82" s="22" customFormat="1" x14ac:dyDescent="0.2"/>
    <row r="83" s="22" customFormat="1" x14ac:dyDescent="0.2"/>
    <row r="84" s="22" customFormat="1" x14ac:dyDescent="0.2"/>
    <row r="85" s="22" customFormat="1" x14ac:dyDescent="0.2"/>
    <row r="86" s="22" customFormat="1" x14ac:dyDescent="0.2"/>
    <row r="87" s="22" customFormat="1" x14ac:dyDescent="0.2"/>
    <row r="88" s="22" customFormat="1" x14ac:dyDescent="0.2"/>
    <row r="89" s="22" customFormat="1" x14ac:dyDescent="0.2"/>
    <row r="90" s="22" customFormat="1" x14ac:dyDescent="0.2"/>
    <row r="91" s="22" customFormat="1" x14ac:dyDescent="0.2"/>
    <row r="92" s="22" customFormat="1" x14ac:dyDescent="0.2"/>
    <row r="93" s="22" customFormat="1" x14ac:dyDescent="0.2"/>
    <row r="94" s="22" customFormat="1" x14ac:dyDescent="0.2"/>
    <row r="95" s="22" customFormat="1" x14ac:dyDescent="0.2"/>
    <row r="96" s="22" customFormat="1" x14ac:dyDescent="0.2"/>
    <row r="97" s="22" customFormat="1" x14ac:dyDescent="0.2"/>
    <row r="98" s="22" customFormat="1" x14ac:dyDescent="0.2"/>
    <row r="99" s="22" customFormat="1" ht="14.25" customHeight="1" x14ac:dyDescent="0.2"/>
    <row r="100" s="22" customFormat="1" x14ac:dyDescent="0.2"/>
    <row r="101" s="22" customFormat="1" ht="14.25" customHeight="1" x14ac:dyDescent="0.2"/>
    <row r="102" s="22" customFormat="1" ht="14.25" customHeight="1" x14ac:dyDescent="0.2"/>
    <row r="103" s="22" customFormat="1" ht="14.25" customHeight="1" x14ac:dyDescent="0.2"/>
    <row r="104" s="22" customFormat="1" ht="14.25" customHeight="1" x14ac:dyDescent="0.2"/>
    <row r="105" s="22" customFormat="1" ht="14.25" customHeight="1" x14ac:dyDescent="0.2"/>
    <row r="106" s="22" customFormat="1" x14ac:dyDescent="0.2"/>
    <row r="107" s="25" customFormat="1" ht="15" customHeight="1" x14ac:dyDescent="0.2"/>
    <row r="108" s="22" customFormat="1" ht="14.25" customHeight="1" x14ac:dyDescent="0.2"/>
    <row r="109" s="22" customFormat="1" ht="14.25" customHeight="1" x14ac:dyDescent="0.2"/>
    <row r="110" s="22" customFormat="1" ht="14.25" customHeight="1" x14ac:dyDescent="0.2"/>
    <row r="111" s="22" customFormat="1" ht="14.25" customHeight="1" x14ac:dyDescent="0.2"/>
    <row r="112" s="22" customFormat="1" ht="14.25" customHeight="1" x14ac:dyDescent="0.2"/>
    <row r="113" s="22" customFormat="1" ht="14.25" customHeight="1" x14ac:dyDescent="0.2"/>
    <row r="114" s="22" customFormat="1" x14ac:dyDescent="0.2"/>
    <row r="115" s="22" customFormat="1" x14ac:dyDescent="0.2"/>
    <row r="116" s="22" customFormat="1" x14ac:dyDescent="0.2"/>
    <row r="117" s="22" customFormat="1" x14ac:dyDescent="0.2"/>
    <row r="118" s="22" customFormat="1" x14ac:dyDescent="0.2"/>
    <row r="119" s="22" customFormat="1" x14ac:dyDescent="0.2"/>
    <row r="120" s="22" customFormat="1" x14ac:dyDescent="0.2"/>
    <row r="121" s="22" customFormat="1" x14ac:dyDescent="0.2"/>
    <row r="122" s="22" customFormat="1" x14ac:dyDescent="0.2"/>
    <row r="123" s="22" customFormat="1" x14ac:dyDescent="0.2"/>
    <row r="124" s="22" customFormat="1" x14ac:dyDescent="0.2"/>
    <row r="125" s="22" customFormat="1" x14ac:dyDescent="0.2"/>
    <row r="126" s="22" customFormat="1" x14ac:dyDescent="0.2"/>
    <row r="127" s="22" customFormat="1" x14ac:dyDescent="0.2"/>
    <row r="128" s="22" customFormat="1" x14ac:dyDescent="0.2"/>
    <row r="129" s="22" customFormat="1" x14ac:dyDescent="0.2"/>
    <row r="130" s="22" customFormat="1" x14ac:dyDescent="0.2"/>
    <row r="131" s="22" customFormat="1" x14ac:dyDescent="0.2"/>
    <row r="132" s="22" customFormat="1" x14ac:dyDescent="0.2"/>
    <row r="133" s="22" customFormat="1" x14ac:dyDescent="0.2"/>
    <row r="134" s="22" customFormat="1" x14ac:dyDescent="0.2"/>
    <row r="135" s="22" customFormat="1" x14ac:dyDescent="0.2"/>
    <row r="136" s="22" customFormat="1" x14ac:dyDescent="0.2"/>
    <row r="137" s="22" customFormat="1" x14ac:dyDescent="0.2"/>
    <row r="138" s="22" customFormat="1" x14ac:dyDescent="0.2"/>
    <row r="139" s="22" customFormat="1" x14ac:dyDescent="0.2"/>
    <row r="140" s="22" customFormat="1" x14ac:dyDescent="0.2"/>
    <row r="141" s="22" customFormat="1" x14ac:dyDescent="0.2"/>
    <row r="142" s="22" customFormat="1" x14ac:dyDescent="0.2"/>
    <row r="143" s="22" customFormat="1" x14ac:dyDescent="0.2"/>
    <row r="144" s="22" customFormat="1" x14ac:dyDescent="0.2"/>
    <row r="145" s="22" customFormat="1" x14ac:dyDescent="0.2"/>
    <row r="146" s="22" customFormat="1" x14ac:dyDescent="0.2"/>
    <row r="147" s="22" customFormat="1" x14ac:dyDescent="0.2"/>
    <row r="149" s="15" customFormat="1" ht="12.75" x14ac:dyDescent="0.2"/>
    <row r="150" s="8" customFormat="1" ht="15" x14ac:dyDescent="0.25"/>
  </sheetData>
  <mergeCells count="4">
    <mergeCell ref="E8:I8"/>
    <mergeCell ref="G3:N3"/>
    <mergeCell ref="G4:N4"/>
    <mergeCell ref="G5:N5"/>
  </mergeCells>
  <printOptions horizontalCentered="1"/>
  <pageMargins left="0.39370078740157483" right="0.39370078740157483" top="0.74803149606299213" bottom="0.74803149606299213" header="0.31496062992125984" footer="0.31496062992125984"/>
  <pageSetup paperSize="9" scale="83" fitToHeight="0"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0898C-BFDB-4A13-813F-6F920DCE89A0}">
  <sheetPr>
    <tabColor rgb="FF92D050"/>
    <pageSetUpPr fitToPage="1"/>
  </sheetPr>
  <dimension ref="A1:V94"/>
  <sheetViews>
    <sheetView view="pageBreakPreview" zoomScale="80" zoomScaleNormal="100" zoomScaleSheetLayoutView="80" workbookViewId="0">
      <selection activeCell="J14" sqref="J14"/>
    </sheetView>
  </sheetViews>
  <sheetFormatPr baseColWidth="10" defaultColWidth="12.7109375" defaultRowHeight="14.25" x14ac:dyDescent="0.2"/>
  <cols>
    <col min="1" max="1" width="5.28515625" style="255" customWidth="1"/>
    <col min="2" max="2" width="2.42578125" style="255" customWidth="1"/>
    <col min="3" max="3" width="5.42578125" style="7" customWidth="1"/>
    <col min="4" max="4" width="6.140625" style="7" customWidth="1"/>
    <col min="5" max="5" width="11.42578125" style="6" customWidth="1"/>
    <col min="6" max="6" width="12.7109375" style="6" customWidth="1"/>
    <col min="7" max="7" width="10.28515625" style="2" customWidth="1"/>
    <col min="8" max="9" width="12" style="5" customWidth="1"/>
    <col min="10" max="10" width="13.7109375" style="2" customWidth="1"/>
    <col min="11" max="11" width="9.7109375" style="4" customWidth="1"/>
    <col min="12" max="12" width="9.85546875" style="4" customWidth="1"/>
    <col min="13" max="13" width="11" style="2" customWidth="1"/>
    <col min="14" max="14" width="8" style="4" bestFit="1" customWidth="1"/>
    <col min="15" max="15" width="11.5703125" style="3" customWidth="1"/>
    <col min="16" max="16" width="10.85546875" style="2" customWidth="1"/>
    <col min="17" max="17" width="12.42578125" style="2" customWidth="1"/>
    <col min="18" max="18" width="3.28515625" style="313" customWidth="1"/>
    <col min="19" max="19" width="2.42578125" style="255" customWidth="1"/>
    <col min="20" max="20" width="1.7109375" style="1" customWidth="1"/>
    <col min="21" max="16384" width="12.7109375" style="1"/>
  </cols>
  <sheetData>
    <row r="1" spans="1:21" ht="15" thickBot="1" x14ac:dyDescent="0.25">
      <c r="A1" s="256"/>
      <c r="B1" s="256"/>
      <c r="C1" s="316"/>
      <c r="D1" s="316"/>
      <c r="E1" s="317"/>
      <c r="F1" s="317"/>
      <c r="G1" s="318"/>
      <c r="H1" s="319"/>
      <c r="I1" s="319"/>
      <c r="J1" s="318"/>
      <c r="K1" s="320"/>
      <c r="L1" s="320"/>
      <c r="M1" s="318"/>
      <c r="N1" s="320"/>
      <c r="O1" s="321"/>
      <c r="P1" s="318"/>
      <c r="Q1" s="318"/>
      <c r="R1" s="322"/>
      <c r="S1" s="322"/>
    </row>
    <row r="2" spans="1:21" ht="12" customHeight="1" x14ac:dyDescent="0.25">
      <c r="A2" s="264"/>
      <c r="B2" s="264"/>
      <c r="C2" s="573"/>
      <c r="D2" s="574"/>
      <c r="E2" s="574"/>
      <c r="F2" s="574"/>
      <c r="G2" s="574"/>
      <c r="H2" s="319"/>
      <c r="I2" s="319"/>
      <c r="J2" s="318"/>
      <c r="K2" s="320"/>
      <c r="L2" s="320"/>
      <c r="M2" s="318"/>
      <c r="N2" s="320"/>
      <c r="O2" s="321"/>
      <c r="P2" s="318"/>
      <c r="Q2" s="322"/>
      <c r="R2" s="395"/>
      <c r="S2" s="401"/>
    </row>
    <row r="3" spans="1:21" s="259" customFormat="1" ht="18.75" customHeight="1" x14ac:dyDescent="0.25">
      <c r="A3" s="402"/>
      <c r="B3" s="397"/>
      <c r="C3" s="575"/>
      <c r="D3" s="576"/>
      <c r="E3" s="576"/>
      <c r="F3" s="576"/>
      <c r="G3" s="576"/>
      <c r="H3" s="551" t="str">
        <f>[1]GENERALES!$C$2</f>
        <v>PROYECTO URBAN SALITRE - ZURICH</v>
      </c>
      <c r="I3" s="551"/>
      <c r="J3" s="551"/>
      <c r="K3" s="551"/>
      <c r="L3" s="551"/>
      <c r="M3" s="551"/>
      <c r="N3" s="551"/>
      <c r="O3" s="551"/>
      <c r="P3" s="551"/>
      <c r="Q3" s="579"/>
      <c r="R3" s="260"/>
      <c r="S3" s="260"/>
    </row>
    <row r="4" spans="1:21" s="259" customFormat="1" ht="18.75" customHeight="1" x14ac:dyDescent="0.25">
      <c r="A4" s="402"/>
      <c r="B4" s="397"/>
      <c r="C4" s="575"/>
      <c r="D4" s="576"/>
      <c r="E4" s="576"/>
      <c r="F4" s="576"/>
      <c r="G4" s="576"/>
      <c r="H4" s="552" t="s">
        <v>137</v>
      </c>
      <c r="I4" s="552"/>
      <c r="J4" s="552"/>
      <c r="K4" s="552"/>
      <c r="L4" s="552"/>
      <c r="M4" s="552"/>
      <c r="N4" s="552"/>
      <c r="O4" s="552"/>
      <c r="P4" s="552"/>
      <c r="Q4" s="580"/>
      <c r="R4" s="260"/>
      <c r="S4" s="260"/>
    </row>
    <row r="5" spans="1:21" s="259" customFormat="1" ht="18.75" customHeight="1" x14ac:dyDescent="0.25">
      <c r="A5" s="402"/>
      <c r="B5" s="397"/>
      <c r="C5" s="575"/>
      <c r="D5" s="576"/>
      <c r="E5" s="576"/>
      <c r="F5" s="576"/>
      <c r="G5" s="576"/>
      <c r="H5" s="552" t="s">
        <v>138</v>
      </c>
      <c r="I5" s="552"/>
      <c r="J5" s="552"/>
      <c r="K5" s="552"/>
      <c r="L5" s="552"/>
      <c r="M5" s="552"/>
      <c r="N5" s="552"/>
      <c r="O5" s="552"/>
      <c r="P5" s="552"/>
      <c r="Q5" s="580"/>
      <c r="R5" s="260"/>
      <c r="S5" s="260"/>
    </row>
    <row r="6" spans="1:21" s="259" customFormat="1" ht="18.75" customHeight="1" thickBot="1" x14ac:dyDescent="0.3">
      <c r="A6" s="402"/>
      <c r="B6" s="397"/>
      <c r="C6" s="577"/>
      <c r="D6" s="578"/>
      <c r="E6" s="578"/>
      <c r="F6" s="578"/>
      <c r="G6" s="578"/>
      <c r="H6" s="262"/>
      <c r="I6" s="262"/>
      <c r="J6" s="261"/>
      <c r="K6" s="261"/>
      <c r="L6" s="261"/>
      <c r="M6" s="262"/>
      <c r="N6" s="262"/>
      <c r="O6" s="262"/>
      <c r="P6" s="262"/>
      <c r="Q6" s="396"/>
      <c r="R6" s="260"/>
      <c r="S6" s="260"/>
    </row>
    <row r="7" spans="1:21" ht="6.75" customHeight="1" thickBot="1" x14ac:dyDescent="0.25">
      <c r="A7" s="264"/>
      <c r="B7" s="264"/>
      <c r="C7" s="323"/>
      <c r="D7" s="323"/>
      <c r="E7" s="324"/>
      <c r="F7" s="324"/>
      <c r="G7" s="325"/>
      <c r="H7" s="326"/>
      <c r="I7" s="326"/>
      <c r="J7" s="325"/>
      <c r="K7" s="327"/>
      <c r="L7" s="327"/>
      <c r="M7" s="325"/>
      <c r="N7" s="327"/>
      <c r="O7" s="328"/>
      <c r="P7" s="325"/>
      <c r="Q7" s="325"/>
      <c r="R7" s="329"/>
      <c r="S7" s="329"/>
    </row>
    <row r="8" spans="1:21" ht="41.25" customHeight="1" thickBot="1" x14ac:dyDescent="0.25">
      <c r="A8" s="264"/>
      <c r="B8" s="264"/>
      <c r="C8" s="330" t="s">
        <v>23</v>
      </c>
      <c r="D8" s="331"/>
      <c r="E8" s="332"/>
      <c r="F8" s="408" t="s">
        <v>147</v>
      </c>
      <c r="G8" s="333"/>
      <c r="H8" s="334"/>
      <c r="I8" s="334"/>
      <c r="J8" s="335"/>
      <c r="K8" s="336"/>
      <c r="L8" s="336"/>
      <c r="M8" s="325"/>
      <c r="N8" s="337" t="s">
        <v>22</v>
      </c>
      <c r="O8" s="338">
        <v>3</v>
      </c>
      <c r="P8" s="270" t="s">
        <v>16</v>
      </c>
      <c r="Q8" s="271">
        <f>+'VOL. TANQUE (UNICO)'!L8</f>
        <v>2</v>
      </c>
      <c r="R8" s="339"/>
      <c r="S8" s="339"/>
    </row>
    <row r="9" spans="1:21" ht="10.5" customHeight="1" thickBot="1" x14ac:dyDescent="0.25">
      <c r="A9" s="264"/>
      <c r="B9" s="264"/>
      <c r="C9" s="323"/>
      <c r="D9" s="323"/>
      <c r="E9" s="324"/>
      <c r="F9" s="324"/>
      <c r="G9" s="325"/>
      <c r="H9" s="326"/>
      <c r="I9" s="326"/>
      <c r="J9" s="325"/>
      <c r="K9" s="327"/>
      <c r="L9" s="327"/>
      <c r="M9" s="325"/>
      <c r="N9" s="327"/>
      <c r="O9" s="328"/>
      <c r="P9" s="325"/>
      <c r="Q9" s="325"/>
      <c r="R9" s="329"/>
      <c r="S9" s="329"/>
    </row>
    <row r="10" spans="1:21" ht="28.5" customHeight="1" thickBot="1" x14ac:dyDescent="0.25">
      <c r="A10" s="264"/>
      <c r="B10" s="264"/>
      <c r="C10" s="340" t="s">
        <v>21</v>
      </c>
      <c r="D10" s="340"/>
      <c r="E10" s="341"/>
      <c r="F10" s="342" t="s">
        <v>20</v>
      </c>
      <c r="G10" s="342" t="s">
        <v>20</v>
      </c>
      <c r="H10" s="343" t="s">
        <v>90</v>
      </c>
      <c r="I10" s="344" t="s">
        <v>91</v>
      </c>
      <c r="J10" s="342" t="s">
        <v>19</v>
      </c>
      <c r="K10" s="345" t="s">
        <v>18</v>
      </c>
      <c r="L10" s="346"/>
      <c r="M10" s="335"/>
      <c r="N10" s="336"/>
      <c r="O10" s="347" t="s">
        <v>92</v>
      </c>
      <c r="P10" s="348" t="s">
        <v>93</v>
      </c>
      <c r="Q10" s="348" t="s">
        <v>96</v>
      </c>
      <c r="R10" s="349"/>
      <c r="S10" s="349"/>
    </row>
    <row r="11" spans="1:21" ht="16.5" customHeight="1" thickBot="1" x14ac:dyDescent="0.25">
      <c r="A11" s="264"/>
      <c r="B11" s="264"/>
      <c r="C11" s="350" t="s">
        <v>16</v>
      </c>
      <c r="D11" s="351" t="s">
        <v>15</v>
      </c>
      <c r="E11" s="352" t="s">
        <v>14</v>
      </c>
      <c r="F11" s="353" t="s">
        <v>106</v>
      </c>
      <c r="G11" s="353" t="s">
        <v>68</v>
      </c>
      <c r="H11" s="354" t="s">
        <v>13</v>
      </c>
      <c r="I11" s="354" t="s">
        <v>102</v>
      </c>
      <c r="J11" s="353" t="s">
        <v>11</v>
      </c>
      <c r="K11" s="355" t="s">
        <v>10</v>
      </c>
      <c r="L11" s="356" t="s">
        <v>9</v>
      </c>
      <c r="M11" s="355" t="s">
        <v>8</v>
      </c>
      <c r="N11" s="355" t="s">
        <v>7</v>
      </c>
      <c r="O11" s="357" t="s">
        <v>6</v>
      </c>
      <c r="P11" s="353" t="s">
        <v>5</v>
      </c>
      <c r="Q11" s="353" t="s">
        <v>4</v>
      </c>
      <c r="R11" s="358"/>
      <c r="S11" s="358"/>
    </row>
    <row r="12" spans="1:21" ht="10.5" customHeight="1" thickBot="1" x14ac:dyDescent="0.3">
      <c r="A12" s="264"/>
      <c r="B12" s="264"/>
      <c r="C12" s="359"/>
      <c r="D12" s="359"/>
      <c r="E12" s="360"/>
      <c r="F12" s="360"/>
      <c r="G12" s="361"/>
      <c r="H12" s="362"/>
      <c r="I12" s="362"/>
      <c r="J12" s="361"/>
      <c r="K12" s="361"/>
      <c r="L12" s="361"/>
      <c r="M12" s="361"/>
      <c r="N12" s="361"/>
      <c r="O12" s="363"/>
      <c r="P12" s="361"/>
      <c r="Q12" s="361"/>
      <c r="R12" s="364"/>
      <c r="S12" s="364"/>
    </row>
    <row r="13" spans="1:21" ht="21.75" customHeight="1" thickBot="1" x14ac:dyDescent="0.25">
      <c r="A13" s="264"/>
      <c r="B13" s="264"/>
      <c r="C13" s="570" t="s">
        <v>135</v>
      </c>
      <c r="D13" s="571"/>
      <c r="E13" s="571"/>
      <c r="F13" s="571"/>
      <c r="G13" s="571"/>
      <c r="H13" s="571"/>
      <c r="I13" s="571"/>
      <c r="J13" s="571"/>
      <c r="K13" s="571"/>
      <c r="L13" s="571"/>
      <c r="M13" s="571"/>
      <c r="N13" s="571"/>
      <c r="O13" s="571"/>
      <c r="P13" s="571"/>
      <c r="Q13" s="572"/>
      <c r="R13" s="365"/>
      <c r="S13" s="266"/>
    </row>
    <row r="14" spans="1:21" ht="21.75" customHeight="1" x14ac:dyDescent="0.2">
      <c r="A14" s="264"/>
      <c r="B14" s="264"/>
      <c r="C14" s="242">
        <v>1</v>
      </c>
      <c r="D14" s="243"/>
      <c r="E14" s="48"/>
      <c r="F14" s="48"/>
      <c r="G14" s="40"/>
      <c r="H14" s="47"/>
      <c r="I14" s="46" t="s">
        <v>12</v>
      </c>
      <c r="J14" s="40"/>
      <c r="K14" s="40"/>
      <c r="L14" s="40"/>
      <c r="M14" s="40"/>
      <c r="N14" s="42"/>
      <c r="O14" s="41"/>
      <c r="P14" s="45"/>
      <c r="Q14" s="76">
        <v>71</v>
      </c>
      <c r="R14" s="371"/>
      <c r="S14" s="266"/>
      <c r="U14" s="1">
        <f>+Q14*1.422</f>
        <v>100.96199999999999</v>
      </c>
    </row>
    <row r="15" spans="1:21" ht="21.75" customHeight="1" x14ac:dyDescent="0.2">
      <c r="A15" s="264"/>
      <c r="B15" s="264"/>
      <c r="C15" s="242">
        <v>1</v>
      </c>
      <c r="D15" s="243">
        <f>+C15+1</f>
        <v>2</v>
      </c>
      <c r="E15" s="43" t="s">
        <v>2</v>
      </c>
      <c r="F15" s="73">
        <v>250</v>
      </c>
      <c r="G15" s="40">
        <f>+F15*0.06309</f>
        <v>15.772499999999999</v>
      </c>
      <c r="H15" s="74">
        <v>6</v>
      </c>
      <c r="I15" s="40">
        <f>IF(E15="AG-SCH40",VLOOKUP(H15,TABLAS!$B$32:$K$49,2),IF(E15="AG-SCH80",VLOOKUP(H15,TABLAS!$B$32:$K$49,3),IF(E15="CU-K",VLOOKUP(H15,TABLAS!$B$32:$K$49,4),IF(E15="CU-L",VLOOKUP(H15,TABLAS!$B$32:$K$49,5),IF(E15="CU-M",VLOOKUP(H15,TABLAS!$B$32:$K$49,6),IF(E15="PVCP",VLOOKUP(H15,TABLAS!$B$32:$K$49,7),IF(E15="CPVC",VLOOKUP(H15,TABLAS!$B$32:$K$49,8),"ERROR")))))))</f>
        <v>154.05099999999999</v>
      </c>
      <c r="J15" s="40">
        <f>(G15/1000)/(PI()*(I15/2/1000)^2)</f>
        <v>0.8462167374689431</v>
      </c>
      <c r="K15" s="75">
        <v>2.5499999999999998</v>
      </c>
      <c r="L15" s="75">
        <v>0</v>
      </c>
      <c r="M15" s="40">
        <f>+(K15+L15)*0.25</f>
        <v>0.63749999999999996</v>
      </c>
      <c r="N15" s="40">
        <f>SUM(K15:M15)</f>
        <v>3.1875</v>
      </c>
      <c r="O15" s="41">
        <f>(G15/(280*(IF(E15="AG-SCH40",VLOOKUP(E15,TABLAS!$N$4:$O$12,2),IF(E15="AG-SCH80",VLOOKUP(E15,TABLAS!$N$4:$O$12,2),IF(E15="CU-K",VLOOKUP(E15,TABLAS!$N$4:$O$12,2),IF(E15="CU-L",VLOOKUP(E15,TABLAS!$N$4:$O$12,2),IF(E15="CU-M",VLOOKUP(E15,TABLAS!$N$4:$O$12,2),IF(E15="PVCP",VLOOKUP(E15,TABLAS!$N$4:$O$12,2),IF(E15="CPVC",VLOOKUP(E15,TABLAS!$N$4:$O$12,2),"ERROR"))))))))*(I15/1000)^2.63))^1.85</f>
        <v>6.2345713236964095E-3</v>
      </c>
      <c r="P15" s="40">
        <f>ROUND(N15*O15,2)</f>
        <v>0.02</v>
      </c>
      <c r="Q15" s="39">
        <f t="shared" ref="Q15:Q20" si="0">Q14+K15+P15</f>
        <v>73.569999999999993</v>
      </c>
      <c r="R15" s="371"/>
      <c r="S15" s="266"/>
      <c r="U15" s="1">
        <f t="shared" ref="U15:U29" si="1">+Q15*1.422</f>
        <v>104.61653999999999</v>
      </c>
    </row>
    <row r="16" spans="1:21" ht="21.75" customHeight="1" x14ac:dyDescent="0.2">
      <c r="A16" s="264"/>
      <c r="B16" s="264"/>
      <c r="C16" s="242">
        <f>+D15</f>
        <v>2</v>
      </c>
      <c r="D16" s="243">
        <f>+C16+1</f>
        <v>3</v>
      </c>
      <c r="E16" s="43" t="s">
        <v>2</v>
      </c>
      <c r="F16" s="73">
        <v>500</v>
      </c>
      <c r="G16" s="40">
        <f t="shared" ref="G16:G20" si="2">+F16*0.06309</f>
        <v>31.544999999999998</v>
      </c>
      <c r="H16" s="74">
        <v>6</v>
      </c>
      <c r="I16" s="40">
        <f>IF(E16="AG-SCH40",VLOOKUP(H16,TABLAS!$B$32:$K$49,2),IF(E16="AG-SCH80",VLOOKUP(H16,TABLAS!$B$32:$K$49,3),IF(E16="CU-K",VLOOKUP(H16,TABLAS!$B$32:$K$49,4),IF(E16="CU-L",VLOOKUP(H16,TABLAS!$B$32:$K$49,5),IF(E16="CU-M",VLOOKUP(H16,TABLAS!$B$32:$K$49,6),IF(E16="PVCP",VLOOKUP(H16,TABLAS!$B$32:$K$49,7),IF(E16="CPVC",VLOOKUP(H16,TABLAS!$B$32:$K$49,8),"ERROR")))))))</f>
        <v>154.05099999999999</v>
      </c>
      <c r="J16" s="40">
        <f t="shared" ref="J16:J20" si="3">(G16/1000)/(PI()*(I16/2/1000)^2)</f>
        <v>1.6924334749378862</v>
      </c>
      <c r="K16" s="75">
        <v>32.35</v>
      </c>
      <c r="L16" s="75">
        <v>0</v>
      </c>
      <c r="M16" s="40">
        <f>+(K16+L16)*0.25</f>
        <v>8.0875000000000004</v>
      </c>
      <c r="N16" s="40">
        <f t="shared" ref="N16:N20" si="4">SUM(K16:M16)</f>
        <v>40.4375</v>
      </c>
      <c r="O16" s="41">
        <f>(G16/(280*(IF(E16="AG-SCH40",VLOOKUP(E16,TABLAS!$N$4:$O$12,2),IF(E16="AG-SCH80",VLOOKUP(E16,TABLAS!$N$4:$O$12,2),IF(E16="CU-K",VLOOKUP(E16,TABLAS!$N$4:$O$12,2),IF(E16="CU-L",VLOOKUP(E16,TABLAS!$N$4:$O$12,2),IF(E16="CU-M",VLOOKUP(E16,TABLAS!$N$4:$O$12,2),IF(E16="PVCP",VLOOKUP(E16,TABLAS!$N$4:$O$12,2),IF(E16="CPVC",VLOOKUP(E16,TABLAS!$N$4:$O$12,2),"ERROR"))))))))*(I16/1000)^2.63))^1.85</f>
        <v>2.2475641158646434E-2</v>
      </c>
      <c r="P16" s="40">
        <f t="shared" ref="P16:P20" si="5">ROUND(N16*O16,2)</f>
        <v>0.91</v>
      </c>
      <c r="Q16" s="39">
        <f t="shared" si="0"/>
        <v>106.82999999999998</v>
      </c>
      <c r="R16" s="371"/>
      <c r="S16" s="266"/>
      <c r="U16" s="1">
        <f t="shared" si="1"/>
        <v>151.91225999999997</v>
      </c>
    </row>
    <row r="17" spans="1:21" ht="21.75" customHeight="1" x14ac:dyDescent="0.2">
      <c r="A17" s="264"/>
      <c r="B17" s="264"/>
      <c r="C17" s="242">
        <f t="shared" ref="C17:C18" si="6">+D16</f>
        <v>3</v>
      </c>
      <c r="D17" s="243">
        <f t="shared" ref="D17:D18" si="7">+C17+1</f>
        <v>4</v>
      </c>
      <c r="E17" s="43" t="s">
        <v>2</v>
      </c>
      <c r="F17" s="73">
        <v>500</v>
      </c>
      <c r="G17" s="40">
        <f t="shared" si="2"/>
        <v>31.544999999999998</v>
      </c>
      <c r="H17" s="74">
        <v>6</v>
      </c>
      <c r="I17" s="40">
        <f>IF(E17="AG-SCH40",VLOOKUP(H17,TABLAS!$B$32:$K$49,2),IF(E17="AG-SCH80",VLOOKUP(H17,TABLAS!$B$32:$K$49,3),IF(E17="CU-K",VLOOKUP(H17,TABLAS!$B$32:$K$49,4),IF(E17="CU-L",VLOOKUP(H17,TABLAS!$B$32:$K$49,5),IF(E17="CU-M",VLOOKUP(H17,TABLAS!$B$32:$K$49,6),IF(E17="PVCP",VLOOKUP(H17,TABLAS!$B$32:$K$49,7),IF(E17="CPVC",VLOOKUP(H17,TABLAS!$B$32:$K$49,8),"ERROR")))))))</f>
        <v>154.05099999999999</v>
      </c>
      <c r="J17" s="40">
        <f t="shared" si="3"/>
        <v>1.6924334749378862</v>
      </c>
      <c r="K17" s="75">
        <v>0</v>
      </c>
      <c r="L17" s="75">
        <v>45.87</v>
      </c>
      <c r="M17" s="40">
        <f t="shared" ref="M17:M20" si="8">+(K17+L17)*0.25</f>
        <v>11.467499999999999</v>
      </c>
      <c r="N17" s="40">
        <f t="shared" si="4"/>
        <v>57.337499999999999</v>
      </c>
      <c r="O17" s="41">
        <f>(G17/(280*(IF(E17="AG-SCH40",VLOOKUP(E17,TABLAS!$N$4:$O$12,2),IF(E17="AG-SCH80",VLOOKUP(E17,TABLAS!$N$4:$O$12,2),IF(E17="CU-K",VLOOKUP(E17,TABLAS!$N$4:$O$12,2),IF(E17="CU-L",VLOOKUP(E17,TABLAS!$N$4:$O$12,2),IF(E17="CU-M",VLOOKUP(E17,TABLAS!$N$4:$O$12,2),IF(E17="PVCP",VLOOKUP(E17,TABLAS!$N$4:$O$12,2),IF(E17="CPVC",VLOOKUP(E17,TABLAS!$N$4:$O$12,2),"ERROR"))))))))*(I17/1000)^2.63))^1.85</f>
        <v>2.2475641158646434E-2</v>
      </c>
      <c r="P17" s="40">
        <f t="shared" si="5"/>
        <v>1.29</v>
      </c>
      <c r="Q17" s="39">
        <f t="shared" si="0"/>
        <v>108.11999999999999</v>
      </c>
      <c r="R17" s="371"/>
      <c r="S17" s="266"/>
      <c r="U17" s="1">
        <f t="shared" si="1"/>
        <v>153.74663999999999</v>
      </c>
    </row>
    <row r="18" spans="1:21" ht="21.75" customHeight="1" x14ac:dyDescent="0.2">
      <c r="A18" s="264"/>
      <c r="B18" s="264"/>
      <c r="C18" s="242">
        <f t="shared" si="6"/>
        <v>4</v>
      </c>
      <c r="D18" s="243">
        <f t="shared" si="7"/>
        <v>5</v>
      </c>
      <c r="E18" s="43" t="s">
        <v>2</v>
      </c>
      <c r="F18" s="73">
        <v>750</v>
      </c>
      <c r="G18" s="40">
        <f t="shared" si="2"/>
        <v>47.317499999999995</v>
      </c>
      <c r="H18" s="74">
        <v>6</v>
      </c>
      <c r="I18" s="40">
        <f>IF(E18="AG-SCH40",VLOOKUP(H18,TABLAS!$B$32:$K$49,2),IF(E18="AG-SCH80",VLOOKUP(H18,TABLAS!$B$32:$K$49,3),IF(E18="CU-K",VLOOKUP(H18,TABLAS!$B$32:$K$49,4),IF(E18="CU-L",VLOOKUP(H18,TABLAS!$B$32:$K$49,5),IF(E18="CU-M",VLOOKUP(H18,TABLAS!$B$32:$K$49,6),IF(E18="PVCP",VLOOKUP(H18,TABLAS!$B$32:$K$49,7),IF(E18="CPVC",VLOOKUP(H18,TABLAS!$B$32:$K$49,8),"ERROR")))))))</f>
        <v>154.05099999999999</v>
      </c>
      <c r="J18" s="40">
        <f t="shared" si="3"/>
        <v>2.5386502124068295</v>
      </c>
      <c r="K18" s="75">
        <v>0</v>
      </c>
      <c r="L18" s="75">
        <v>20.14</v>
      </c>
      <c r="M18" s="40">
        <f t="shared" si="8"/>
        <v>5.0350000000000001</v>
      </c>
      <c r="N18" s="40">
        <f t="shared" si="4"/>
        <v>25.175000000000001</v>
      </c>
      <c r="O18" s="41">
        <f>(G18/(280*(IF(E18="AG-SCH40",VLOOKUP(E18,TABLAS!$N$4:$O$12,2),IF(E18="AG-SCH80",VLOOKUP(E18,TABLAS!$N$4:$O$12,2),IF(E18="CU-K",VLOOKUP(E18,TABLAS!$N$4:$O$12,2),IF(E18="CU-L",VLOOKUP(E18,TABLAS!$N$4:$O$12,2),IF(E18="CU-M",VLOOKUP(E18,TABLAS!$N$4:$O$12,2),IF(E18="PVCP",VLOOKUP(E18,TABLAS!$N$4:$O$12,2),IF(E18="CPVC",VLOOKUP(E18,TABLAS!$N$4:$O$12,2),"ERROR"))))))))*(I18/1000)^2.63))^1.85</f>
        <v>4.7586188310492751E-2</v>
      </c>
      <c r="P18" s="40">
        <f t="shared" si="5"/>
        <v>1.2</v>
      </c>
      <c r="Q18" s="39">
        <f t="shared" si="0"/>
        <v>109.32</v>
      </c>
      <c r="R18" s="371"/>
      <c r="S18" s="266"/>
      <c r="U18" s="1">
        <f t="shared" si="1"/>
        <v>155.45303999999999</v>
      </c>
    </row>
    <row r="19" spans="1:21" ht="21.75" customHeight="1" x14ac:dyDescent="0.2">
      <c r="A19" s="264"/>
      <c r="B19" s="264"/>
      <c r="C19" s="244">
        <v>5</v>
      </c>
      <c r="D19" s="245">
        <v>6</v>
      </c>
      <c r="E19" s="237" t="s">
        <v>2</v>
      </c>
      <c r="F19" s="238">
        <v>750</v>
      </c>
      <c r="G19" s="238">
        <f t="shared" ref="G19" si="9">+F19*0.06309</f>
        <v>47.317499999999995</v>
      </c>
      <c r="H19" s="239">
        <v>6</v>
      </c>
      <c r="I19" s="238">
        <f>IF(E19="AG-SCH40",VLOOKUP(H19,TABLAS!$B$32:$K$49,2),IF(E19="AG-SCH80",VLOOKUP(H19,TABLAS!$B$32:$K$49,3),IF(E19="CU-K",VLOOKUP(H19,TABLAS!$B$32:$K$49,4),IF(E19="CU-L",VLOOKUP(H19,TABLAS!$B$32:$K$49,5),IF(E19="CU-M",VLOOKUP(H19,TABLAS!$B$32:$K$49,6),IF(E19="PVCP",VLOOKUP(H19,TABLAS!$B$32:$K$49,7),IF(E19="CPVC",VLOOKUP(H19,TABLAS!$B$32:$K$49,8),"ERROR")))))))</f>
        <v>154.05099999999999</v>
      </c>
      <c r="J19" s="238">
        <f t="shared" ref="J19" si="10">(G19/1000)/(PI()*(I19/2/1000)^2)</f>
        <v>2.5386502124068295</v>
      </c>
      <c r="K19" s="240">
        <v>0</v>
      </c>
      <c r="L19" s="240">
        <v>11.86</v>
      </c>
      <c r="M19" s="238">
        <f t="shared" ref="M19" si="11">+(K19+L19)*0.25</f>
        <v>2.9649999999999999</v>
      </c>
      <c r="N19" s="238">
        <f t="shared" ref="N19" si="12">SUM(K19:M19)</f>
        <v>14.824999999999999</v>
      </c>
      <c r="O19" s="241">
        <f>(G19/(280*(IF(E19="AG-SCH40",VLOOKUP(E19,TABLAS!$N$4:$O$12,2),IF(E19="AG-SCH80",VLOOKUP(E19,TABLAS!$N$4:$O$12,2),IF(E19="CU-K",VLOOKUP(E19,TABLAS!$N$4:$O$12,2),IF(E19="CU-L",VLOOKUP(E19,TABLAS!$N$4:$O$12,2),IF(E19="CU-M",VLOOKUP(E19,TABLAS!$N$4:$O$12,2),IF(E19="PVCP",VLOOKUP(E19,TABLAS!$N$4:$O$12,2),IF(E19="CPVC",VLOOKUP(E19,TABLAS!$N$4:$O$12,2),"ERROR"))))))))*(I19/1000)^2.63))^1.85</f>
        <v>4.7586188310492751E-2</v>
      </c>
      <c r="P19" s="238">
        <f t="shared" ref="P19" si="13">ROUND(N19*O19,2)</f>
        <v>0.71</v>
      </c>
      <c r="Q19" s="248">
        <f t="shared" si="0"/>
        <v>110.02999999999999</v>
      </c>
      <c r="R19" s="371"/>
      <c r="S19" s="266"/>
      <c r="U19" s="1">
        <f t="shared" ref="U19:U20" si="14">+Q19*1.422</f>
        <v>156.46265999999997</v>
      </c>
    </row>
    <row r="20" spans="1:21" ht="21.75" customHeight="1" x14ac:dyDescent="0.2">
      <c r="A20" s="264"/>
      <c r="B20" s="264"/>
      <c r="C20" s="242">
        <f>+D19</f>
        <v>6</v>
      </c>
      <c r="D20" s="243" t="s">
        <v>107</v>
      </c>
      <c r="E20" s="43" t="s">
        <v>2</v>
      </c>
      <c r="F20" s="73">
        <v>750</v>
      </c>
      <c r="G20" s="40">
        <f t="shared" si="2"/>
        <v>47.317499999999995</v>
      </c>
      <c r="H20" s="74">
        <v>6</v>
      </c>
      <c r="I20" s="40">
        <f>IF(E20="AG-SCH40",VLOOKUP(H20,TABLAS!$B$32:$K$49,2),IF(E20="AG-SCH80",VLOOKUP(H20,TABLAS!$B$32:$K$49,3),IF(E20="CU-K",VLOOKUP(H20,TABLAS!$B$32:$K$49,4),IF(E20="CU-L",VLOOKUP(H20,TABLAS!$B$32:$K$49,5),IF(E20="CU-M",VLOOKUP(H20,TABLAS!$B$32:$K$49,6),IF(E20="PVCP",VLOOKUP(H20,TABLAS!$B$32:$K$49,7),IF(E20="CPVC",VLOOKUP(H20,TABLAS!$B$32:$K$49,8),"ERROR")))))))</f>
        <v>154.05099999999999</v>
      </c>
      <c r="J20" s="40">
        <f t="shared" si="3"/>
        <v>2.5386502124068295</v>
      </c>
      <c r="K20" s="75">
        <v>2.4</v>
      </c>
      <c r="L20" s="75">
        <v>1.5</v>
      </c>
      <c r="M20" s="40">
        <f t="shared" si="8"/>
        <v>0.97499999999999998</v>
      </c>
      <c r="N20" s="40">
        <f t="shared" si="4"/>
        <v>4.875</v>
      </c>
      <c r="O20" s="41">
        <f>(G20/(280*(IF(E20="AG-SCH40",VLOOKUP(E20,TABLAS!$N$4:$O$12,2),IF(E20="AG-SCH80",VLOOKUP(E20,TABLAS!$N$4:$O$12,2),IF(E20="CU-K",VLOOKUP(E20,TABLAS!$N$4:$O$12,2),IF(E20="CU-L",VLOOKUP(E20,TABLAS!$N$4:$O$12,2),IF(E20="CU-M",VLOOKUP(E20,TABLAS!$N$4:$O$12,2),IF(E20="PVCP",VLOOKUP(E20,TABLAS!$N$4:$O$12,2),IF(E20="CPVC",VLOOKUP(E20,TABLAS!$N$4:$O$12,2),"ERROR"))))))))*(I20/1000)^2.63))^1.85</f>
        <v>4.7586188310492751E-2</v>
      </c>
      <c r="P20" s="40">
        <f t="shared" si="5"/>
        <v>0.23</v>
      </c>
      <c r="Q20" s="39">
        <f t="shared" si="0"/>
        <v>112.66</v>
      </c>
      <c r="R20" s="371"/>
      <c r="S20" s="266"/>
      <c r="U20" s="1">
        <f t="shared" si="14"/>
        <v>160.20251999999999</v>
      </c>
    </row>
    <row r="21" spans="1:21" ht="21.75" customHeight="1" thickBot="1" x14ac:dyDescent="0.25">
      <c r="A21" s="264"/>
      <c r="B21" s="264"/>
      <c r="C21" s="246"/>
      <c r="D21" s="247"/>
      <c r="E21" s="36"/>
      <c r="F21" s="35">
        <f>MAX(F15:F20)</f>
        <v>750</v>
      </c>
      <c r="G21" s="35">
        <f>MAX(G15:G20)</f>
        <v>47.317499999999995</v>
      </c>
      <c r="H21" s="34"/>
      <c r="I21" s="34"/>
      <c r="J21" s="31"/>
      <c r="K21" s="33">
        <f>SUM(K15:K20)</f>
        <v>37.299999999999997</v>
      </c>
      <c r="L21" s="32"/>
      <c r="M21" s="31"/>
      <c r="N21" s="33">
        <f>SUM(N15:N20)</f>
        <v>145.83750000000001</v>
      </c>
      <c r="O21" s="30"/>
      <c r="P21" s="29">
        <f>SUM(P15:P20)</f>
        <v>4.3600000000000003</v>
      </c>
      <c r="Q21" s="28"/>
      <c r="R21" s="371"/>
      <c r="S21" s="266"/>
    </row>
    <row r="22" spans="1:21" ht="21.75" customHeight="1" thickBot="1" x14ac:dyDescent="0.25">
      <c r="A22" s="264"/>
      <c r="B22" s="366"/>
      <c r="C22" s="570" t="s">
        <v>136</v>
      </c>
      <c r="D22" s="571"/>
      <c r="E22" s="571"/>
      <c r="F22" s="571"/>
      <c r="G22" s="571"/>
      <c r="H22" s="571"/>
      <c r="I22" s="571"/>
      <c r="J22" s="571"/>
      <c r="K22" s="571"/>
      <c r="L22" s="571"/>
      <c r="M22" s="571"/>
      <c r="N22" s="571"/>
      <c r="O22" s="571"/>
      <c r="P22" s="571"/>
      <c r="Q22" s="572"/>
      <c r="R22" s="371"/>
      <c r="S22" s="266"/>
      <c r="U22" s="1">
        <f t="shared" si="1"/>
        <v>0</v>
      </c>
    </row>
    <row r="23" spans="1:21" ht="21.75" customHeight="1" x14ac:dyDescent="0.2">
      <c r="A23" s="264"/>
      <c r="B23" s="366"/>
      <c r="C23" s="44">
        <v>1</v>
      </c>
      <c r="D23" s="43"/>
      <c r="E23" s="43"/>
      <c r="F23" s="73"/>
      <c r="G23" s="40"/>
      <c r="H23" s="74"/>
      <c r="I23" s="45" t="s">
        <v>12</v>
      </c>
      <c r="J23" s="40"/>
      <c r="K23" s="75"/>
      <c r="L23" s="75"/>
      <c r="M23" s="40"/>
      <c r="N23" s="40"/>
      <c r="O23" s="41"/>
      <c r="P23" s="40"/>
      <c r="Q23" s="76">
        <v>71</v>
      </c>
      <c r="R23" s="371"/>
      <c r="S23" s="266"/>
      <c r="U23" s="1">
        <f t="shared" si="1"/>
        <v>100.96199999999999</v>
      </c>
    </row>
    <row r="24" spans="1:21" ht="21.75" customHeight="1" x14ac:dyDescent="0.2">
      <c r="A24" s="264"/>
      <c r="B24" s="366"/>
      <c r="C24" s="44">
        <v>1</v>
      </c>
      <c r="D24" s="43">
        <f>+C24+1</f>
        <v>2</v>
      </c>
      <c r="E24" s="43" t="s">
        <v>2</v>
      </c>
      <c r="F24" s="73">
        <v>250</v>
      </c>
      <c r="G24" s="40">
        <f>+F24*0.06309</f>
        <v>15.772499999999999</v>
      </c>
      <c r="H24" s="74">
        <v>6</v>
      </c>
      <c r="I24" s="40">
        <f>IF(E24="AG-SCH40",VLOOKUP(H24,TABLAS!$B$32:$K$49,2),IF(E24="AG-SCH80",VLOOKUP(H24,TABLAS!$B$32:$K$49,3),IF(E24="CU-K",VLOOKUP(H24,TABLAS!$B$32:$K$49,4),IF(E24="CU-L",VLOOKUP(H24,TABLAS!$B$32:$K$49,5),IF(E24="CU-M",VLOOKUP(H24,TABLAS!$B$32:$K$49,6),IF(E24="PVCP",VLOOKUP(H24,TABLAS!$B$32:$K$49,7),IF(E24="CPVC",VLOOKUP(H24,TABLAS!$B$32:$K$49,8),"ERROR")))))))</f>
        <v>154.05099999999999</v>
      </c>
      <c r="J24" s="40">
        <f>(G24/1000)/(PI()*(I24/2/1000)^2)</f>
        <v>0.8462167374689431</v>
      </c>
      <c r="K24" s="75">
        <v>2.5499999999999998</v>
      </c>
      <c r="L24" s="75">
        <v>0</v>
      </c>
      <c r="M24" s="40">
        <f>+(K24+L24)*0.25</f>
        <v>0.63749999999999996</v>
      </c>
      <c r="N24" s="40">
        <f>SUM(K24:M24)</f>
        <v>3.1875</v>
      </c>
      <c r="O24" s="41">
        <f>(G24/(280*(IF(E24="AG-SCH40",VLOOKUP(E24,TABLAS!$N$4:$O$12,2),IF(E24="AG-SCH80",VLOOKUP(E24,TABLAS!$N$4:$O$12,2),IF(E24="CU-K",VLOOKUP(E24,TABLAS!$N$4:$O$12,2),IF(E24="CU-L",VLOOKUP(E24,TABLAS!$N$4:$O$12,2),IF(E24="CU-M",VLOOKUP(E24,TABLAS!$N$4:$O$12,2),IF(E24="PVCP",VLOOKUP(E24,TABLAS!$N$4:$O$12,2),IF(E24="CPVC",VLOOKUP(E24,TABLAS!$N$4:$O$12,2),"ERROR"))))))))*(I24/1000)^2.63))^1.85</f>
        <v>6.2345713236964095E-3</v>
      </c>
      <c r="P24" s="40">
        <f>ROUND(N24*O24,2)</f>
        <v>0.02</v>
      </c>
      <c r="Q24" s="39">
        <f t="shared" ref="Q24:Q29" si="15">Q23+K24+P24</f>
        <v>73.569999999999993</v>
      </c>
      <c r="R24" s="371"/>
      <c r="S24" s="266"/>
      <c r="U24" s="1">
        <f t="shared" si="1"/>
        <v>104.61653999999999</v>
      </c>
    </row>
    <row r="25" spans="1:21" ht="21.75" customHeight="1" x14ac:dyDescent="0.2">
      <c r="A25" s="264"/>
      <c r="B25" s="366"/>
      <c r="C25" s="44">
        <f>+D24</f>
        <v>2</v>
      </c>
      <c r="D25" s="43">
        <f>+C25+1</f>
        <v>3</v>
      </c>
      <c r="E25" s="43" t="s">
        <v>2</v>
      </c>
      <c r="F25" s="73">
        <v>500</v>
      </c>
      <c r="G25" s="40">
        <f t="shared" ref="G25:G29" si="16">+F25*0.06309</f>
        <v>31.544999999999998</v>
      </c>
      <c r="H25" s="74">
        <v>6</v>
      </c>
      <c r="I25" s="40">
        <f>IF(E25="AG-SCH40",VLOOKUP(H25,TABLAS!$B$32:$K$49,2),IF(E25="AG-SCH80",VLOOKUP(H25,TABLAS!$B$32:$K$49,3),IF(E25="CU-K",VLOOKUP(H25,TABLAS!$B$32:$K$49,4),IF(E25="CU-L",VLOOKUP(H25,TABLAS!$B$32:$K$49,5),IF(E25="CU-M",VLOOKUP(H25,TABLAS!$B$32:$K$49,6),IF(E25="PVCP",VLOOKUP(H25,TABLAS!$B$32:$K$49,7),IF(E25="CPVC",VLOOKUP(H25,TABLAS!$B$32:$K$49,8),"ERROR")))))))</f>
        <v>154.05099999999999</v>
      </c>
      <c r="J25" s="40">
        <f t="shared" ref="J25:J29" si="17">(G25/1000)/(PI()*(I25/2/1000)^2)</f>
        <v>1.6924334749378862</v>
      </c>
      <c r="K25" s="75">
        <v>32.35</v>
      </c>
      <c r="L25" s="75">
        <v>0</v>
      </c>
      <c r="M25" s="40">
        <f>+(K25+L25)*0.25</f>
        <v>8.0875000000000004</v>
      </c>
      <c r="N25" s="40">
        <f t="shared" ref="N25:N29" si="18">SUM(K25:M25)</f>
        <v>40.4375</v>
      </c>
      <c r="O25" s="41">
        <f>(G25/(280*(IF(E25="AG-SCH40",VLOOKUP(E25,TABLAS!$N$4:$O$12,2),IF(E25="AG-SCH80",VLOOKUP(E25,TABLAS!$N$4:$O$12,2),IF(E25="CU-K",VLOOKUP(E25,TABLAS!$N$4:$O$12,2),IF(E25="CU-L",VLOOKUP(E25,TABLAS!$N$4:$O$12,2),IF(E25="CU-M",VLOOKUP(E25,TABLAS!$N$4:$O$12,2),IF(E25="PVCP",VLOOKUP(E25,TABLAS!$N$4:$O$12,2),IF(E25="CPVC",VLOOKUP(E25,TABLAS!$N$4:$O$12,2),"ERROR"))))))))*(I25/1000)^2.63))^1.85</f>
        <v>2.2475641158646434E-2</v>
      </c>
      <c r="P25" s="40">
        <f t="shared" ref="P25:P29" si="19">ROUND(N25*O25,2)</f>
        <v>0.91</v>
      </c>
      <c r="Q25" s="39">
        <f t="shared" si="15"/>
        <v>106.82999999999998</v>
      </c>
      <c r="R25" s="371"/>
      <c r="S25" s="266"/>
      <c r="U25" s="1">
        <f t="shared" si="1"/>
        <v>151.91225999999997</v>
      </c>
    </row>
    <row r="26" spans="1:21" ht="21.75" customHeight="1" x14ac:dyDescent="0.2">
      <c r="A26" s="264"/>
      <c r="B26" s="366"/>
      <c r="C26" s="44">
        <f t="shared" ref="C26:C27" si="20">+D25</f>
        <v>3</v>
      </c>
      <c r="D26" s="43">
        <f t="shared" ref="D26:D27" si="21">+C26+1</f>
        <v>4</v>
      </c>
      <c r="E26" s="43" t="s">
        <v>2</v>
      </c>
      <c r="F26" s="73">
        <v>500</v>
      </c>
      <c r="G26" s="40">
        <f t="shared" si="16"/>
        <v>31.544999999999998</v>
      </c>
      <c r="H26" s="74">
        <v>6</v>
      </c>
      <c r="I26" s="40">
        <f>IF(E26="AG-SCH40",VLOOKUP(H26,TABLAS!$B$32:$K$49,2),IF(E26="AG-SCH80",VLOOKUP(H26,TABLAS!$B$32:$K$49,3),IF(E26="CU-K",VLOOKUP(H26,TABLAS!$B$32:$K$49,4),IF(E26="CU-L",VLOOKUP(H26,TABLAS!$B$32:$K$49,5),IF(E26="CU-M",VLOOKUP(H26,TABLAS!$B$32:$K$49,6),IF(E26="PVCP",VLOOKUP(H26,TABLAS!$B$32:$K$49,7),IF(E26="CPVC",VLOOKUP(H26,TABLAS!$B$32:$K$49,8),"ERROR")))))))</f>
        <v>154.05099999999999</v>
      </c>
      <c r="J26" s="40">
        <f t="shared" si="17"/>
        <v>1.6924334749378862</v>
      </c>
      <c r="K26" s="75">
        <v>0</v>
      </c>
      <c r="L26" s="75">
        <v>20.97</v>
      </c>
      <c r="M26" s="40">
        <f t="shared" ref="M26:M29" si="22">+(K26+L26)*0.25</f>
        <v>5.2424999999999997</v>
      </c>
      <c r="N26" s="40">
        <f t="shared" si="18"/>
        <v>26.212499999999999</v>
      </c>
      <c r="O26" s="41">
        <f>(G26/(280*(IF(E26="AG-SCH40",VLOOKUP(E26,TABLAS!$N$4:$O$12,2),IF(E26="AG-SCH80",VLOOKUP(E26,TABLAS!$N$4:$O$12,2),IF(E26="CU-K",VLOOKUP(E26,TABLAS!$N$4:$O$12,2),IF(E26="CU-L",VLOOKUP(E26,TABLAS!$N$4:$O$12,2),IF(E26="CU-M",VLOOKUP(E26,TABLAS!$N$4:$O$12,2),IF(E26="PVCP",VLOOKUP(E26,TABLAS!$N$4:$O$12,2),IF(E26="CPVC",VLOOKUP(E26,TABLAS!$N$4:$O$12,2),"ERROR"))))))))*(I26/1000)^2.63))^1.85</f>
        <v>2.2475641158646434E-2</v>
      </c>
      <c r="P26" s="40">
        <f t="shared" si="19"/>
        <v>0.59</v>
      </c>
      <c r="Q26" s="39">
        <f t="shared" si="15"/>
        <v>107.41999999999999</v>
      </c>
      <c r="R26" s="371"/>
      <c r="S26" s="266"/>
      <c r="U26" s="1">
        <f t="shared" si="1"/>
        <v>152.75123999999997</v>
      </c>
    </row>
    <row r="27" spans="1:21" ht="21.75" customHeight="1" x14ac:dyDescent="0.2">
      <c r="A27" s="264"/>
      <c r="B27" s="366"/>
      <c r="C27" s="44">
        <f t="shared" si="20"/>
        <v>4</v>
      </c>
      <c r="D27" s="43">
        <f t="shared" si="21"/>
        <v>5</v>
      </c>
      <c r="E27" s="43" t="s">
        <v>2</v>
      </c>
      <c r="F27" s="73">
        <v>750</v>
      </c>
      <c r="G27" s="40">
        <f t="shared" si="16"/>
        <v>47.317499999999995</v>
      </c>
      <c r="H27" s="74">
        <v>6</v>
      </c>
      <c r="I27" s="40">
        <f>IF(E27="AG-SCH40",VLOOKUP(H27,TABLAS!$B$32:$K$49,2),IF(E27="AG-SCH80",VLOOKUP(H27,TABLAS!$B$32:$K$49,3),IF(E27="CU-K",VLOOKUP(H27,TABLAS!$B$32:$K$49,4),IF(E27="CU-L",VLOOKUP(H27,TABLAS!$B$32:$K$49,5),IF(E27="CU-M",VLOOKUP(H27,TABLAS!$B$32:$K$49,6),IF(E27="PVCP",VLOOKUP(H27,TABLAS!$B$32:$K$49,7),IF(E27="CPVC",VLOOKUP(H27,TABLAS!$B$32:$K$49,8),"ERROR")))))))</f>
        <v>154.05099999999999</v>
      </c>
      <c r="J27" s="40">
        <f t="shared" si="17"/>
        <v>2.5386502124068295</v>
      </c>
      <c r="K27" s="75">
        <v>0</v>
      </c>
      <c r="L27" s="75">
        <v>20.14</v>
      </c>
      <c r="M27" s="40">
        <f t="shared" si="22"/>
        <v>5.0350000000000001</v>
      </c>
      <c r="N27" s="40">
        <f t="shared" si="18"/>
        <v>25.175000000000001</v>
      </c>
      <c r="O27" s="41">
        <f>(G27/(280*(IF(E27="AG-SCH40",VLOOKUP(E27,TABLAS!$N$4:$O$12,2),IF(E27="AG-SCH80",VLOOKUP(E27,TABLAS!$N$4:$O$12,2),IF(E27="CU-K",VLOOKUP(E27,TABLAS!$N$4:$O$12,2),IF(E27="CU-L",VLOOKUP(E27,TABLAS!$N$4:$O$12,2),IF(E27="CU-M",VLOOKUP(E27,TABLAS!$N$4:$O$12,2),IF(E27="PVCP",VLOOKUP(E27,TABLAS!$N$4:$O$12,2),IF(E27="CPVC",VLOOKUP(E27,TABLAS!$N$4:$O$12,2),"ERROR"))))))))*(I27/1000)^2.63))^1.85</f>
        <v>4.7586188310492751E-2</v>
      </c>
      <c r="P27" s="40">
        <f t="shared" si="19"/>
        <v>1.2</v>
      </c>
      <c r="Q27" s="39">
        <f t="shared" si="15"/>
        <v>108.61999999999999</v>
      </c>
      <c r="R27" s="371"/>
      <c r="S27" s="266"/>
      <c r="U27" s="1">
        <f t="shared" si="1"/>
        <v>154.45763999999997</v>
      </c>
    </row>
    <row r="28" spans="1:21" ht="21.75" customHeight="1" x14ac:dyDescent="0.2">
      <c r="A28" s="264"/>
      <c r="B28" s="366"/>
      <c r="C28" s="236">
        <f>+D27</f>
        <v>5</v>
      </c>
      <c r="D28" s="237">
        <v>6</v>
      </c>
      <c r="E28" s="237" t="s">
        <v>2</v>
      </c>
      <c r="F28" s="238">
        <v>750</v>
      </c>
      <c r="G28" s="238">
        <f t="shared" ref="G28" si="23">+F28*0.06309</f>
        <v>47.317499999999995</v>
      </c>
      <c r="H28" s="239">
        <v>6</v>
      </c>
      <c r="I28" s="238">
        <f>IF(E28="AG-SCH40",VLOOKUP(H28,TABLAS!$B$32:$K$49,2),IF(E28="AG-SCH80",VLOOKUP(H28,TABLAS!$B$32:$K$49,3),IF(E28="CU-K",VLOOKUP(H28,TABLAS!$B$32:$K$49,4),IF(E28="CU-L",VLOOKUP(H28,TABLAS!$B$32:$K$49,5),IF(E28="CU-M",VLOOKUP(H28,TABLAS!$B$32:$K$49,6),IF(E28="PVCP",VLOOKUP(H28,TABLAS!$B$32:$K$49,7),IF(E28="CPVC",VLOOKUP(H28,TABLAS!$B$32:$K$49,8),"ERROR")))))))</f>
        <v>154.05099999999999</v>
      </c>
      <c r="J28" s="238">
        <f t="shared" ref="J28" si="24">(G28/1000)/(PI()*(I28/2/1000)^2)</f>
        <v>2.5386502124068295</v>
      </c>
      <c r="K28" s="240">
        <v>0</v>
      </c>
      <c r="L28" s="240">
        <v>11.86</v>
      </c>
      <c r="M28" s="238">
        <f t="shared" ref="M28" si="25">+(K28+L28)*0.25</f>
        <v>2.9649999999999999</v>
      </c>
      <c r="N28" s="238">
        <f t="shared" ref="N28" si="26">SUM(K28:M28)</f>
        <v>14.824999999999999</v>
      </c>
      <c r="O28" s="241">
        <f>(G28/(280*(IF(E28="AG-SCH40",VLOOKUP(E28,TABLAS!$N$4:$O$12,2),IF(E28="AG-SCH80",VLOOKUP(E28,TABLAS!$N$4:$O$12,2),IF(E28="CU-K",VLOOKUP(E28,TABLAS!$N$4:$O$12,2),IF(E28="CU-L",VLOOKUP(E28,TABLAS!$N$4:$O$12,2),IF(E28="CU-M",VLOOKUP(E28,TABLAS!$N$4:$O$12,2),IF(E28="PVCP",VLOOKUP(E28,TABLAS!$N$4:$O$12,2),IF(E28="CPVC",VLOOKUP(E28,TABLAS!$N$4:$O$12,2),"ERROR"))))))))*(I28/1000)^2.63))^1.85</f>
        <v>4.7586188310492751E-2</v>
      </c>
      <c r="P28" s="238">
        <f t="shared" ref="P28" si="27">ROUND(N28*O28,2)</f>
        <v>0.71</v>
      </c>
      <c r="Q28" s="248">
        <f t="shared" si="15"/>
        <v>109.32999999999998</v>
      </c>
      <c r="R28" s="371"/>
      <c r="S28" s="266"/>
      <c r="U28" s="1">
        <f t="shared" si="1"/>
        <v>155.46725999999998</v>
      </c>
    </row>
    <row r="29" spans="1:21" ht="21.75" customHeight="1" x14ac:dyDescent="0.2">
      <c r="A29" s="264"/>
      <c r="B29" s="366"/>
      <c r="C29" s="44">
        <f>+D28</f>
        <v>6</v>
      </c>
      <c r="D29" s="43" t="s">
        <v>133</v>
      </c>
      <c r="E29" s="43" t="s">
        <v>2</v>
      </c>
      <c r="F29" s="73">
        <v>750</v>
      </c>
      <c r="G29" s="40">
        <f t="shared" si="16"/>
        <v>47.317499999999995</v>
      </c>
      <c r="H29" s="74">
        <v>6</v>
      </c>
      <c r="I29" s="40">
        <f>IF(E29="AG-SCH40",VLOOKUP(H29,TABLAS!$B$32:$K$49,2),IF(E29="AG-SCH80",VLOOKUP(H29,TABLAS!$B$32:$K$49,3),IF(E29="CU-K",VLOOKUP(H29,TABLAS!$B$32:$K$49,4),IF(E29="CU-L",VLOOKUP(H29,TABLAS!$B$32:$K$49,5),IF(E29="CU-M",VLOOKUP(H29,TABLAS!$B$32:$K$49,6),IF(E29="PVCP",VLOOKUP(H29,TABLAS!$B$32:$K$49,7),IF(E29="CPVC",VLOOKUP(H29,TABLAS!$B$32:$K$49,8),"ERROR")))))))</f>
        <v>154.05099999999999</v>
      </c>
      <c r="J29" s="40">
        <f t="shared" si="17"/>
        <v>2.5386502124068295</v>
      </c>
      <c r="K29" s="75">
        <v>2.4</v>
      </c>
      <c r="L29" s="75">
        <v>1.5</v>
      </c>
      <c r="M29" s="40">
        <f t="shared" si="22"/>
        <v>0.97499999999999998</v>
      </c>
      <c r="N29" s="40">
        <f t="shared" si="18"/>
        <v>4.875</v>
      </c>
      <c r="O29" s="41">
        <f>(G29/(280*(IF(E29="AG-SCH40",VLOOKUP(E29,TABLAS!$N$4:$O$12,2),IF(E29="AG-SCH80",VLOOKUP(E29,TABLAS!$N$4:$O$12,2),IF(E29="CU-K",VLOOKUP(E29,TABLAS!$N$4:$O$12,2),IF(E29="CU-L",VLOOKUP(E29,TABLAS!$N$4:$O$12,2),IF(E29="CU-M",VLOOKUP(E29,TABLAS!$N$4:$O$12,2),IF(E29="PVCP",VLOOKUP(E29,TABLAS!$N$4:$O$12,2),IF(E29="CPVC",VLOOKUP(E29,TABLAS!$N$4:$O$12,2),"ERROR"))))))))*(I29/1000)^2.63))^1.85</f>
        <v>4.7586188310492751E-2</v>
      </c>
      <c r="P29" s="40">
        <f t="shared" si="19"/>
        <v>0.23</v>
      </c>
      <c r="Q29" s="39">
        <f t="shared" si="15"/>
        <v>111.96</v>
      </c>
      <c r="R29" s="371"/>
      <c r="S29" s="266"/>
      <c r="U29" s="1">
        <f t="shared" si="1"/>
        <v>159.20711999999997</v>
      </c>
    </row>
    <row r="30" spans="1:21" ht="21.75" customHeight="1" thickBot="1" x14ac:dyDescent="0.25">
      <c r="A30" s="264"/>
      <c r="B30" s="366"/>
      <c r="C30" s="38"/>
      <c r="D30" s="37"/>
      <c r="E30" s="36"/>
      <c r="F30" s="35">
        <f>MAX(F24:F29)</f>
        <v>750</v>
      </c>
      <c r="G30" s="35">
        <f>MAX(G24:G29)</f>
        <v>47.317499999999995</v>
      </c>
      <c r="H30" s="34"/>
      <c r="I30" s="34"/>
      <c r="J30" s="31"/>
      <c r="K30" s="33">
        <f>SUM(K24:K29)</f>
        <v>37.299999999999997</v>
      </c>
      <c r="L30" s="32"/>
      <c r="M30" s="31"/>
      <c r="N30" s="33">
        <f>SUM(N24:N29)</f>
        <v>114.71250000000001</v>
      </c>
      <c r="O30" s="30"/>
      <c r="P30" s="29">
        <f>SUM(P24:P29)</f>
        <v>3.6599999999999997</v>
      </c>
      <c r="Q30" s="28"/>
      <c r="R30" s="371"/>
      <c r="S30" s="266"/>
    </row>
    <row r="31" spans="1:21" s="22" customFormat="1" ht="12" customHeight="1" thickBot="1" x14ac:dyDescent="0.25">
      <c r="A31" s="403"/>
      <c r="B31" s="368"/>
      <c r="C31" s="384"/>
      <c r="D31" s="384"/>
      <c r="E31" s="385"/>
      <c r="F31" s="385"/>
      <c r="G31" s="386"/>
      <c r="H31" s="387"/>
      <c r="I31" s="387"/>
      <c r="J31" s="386"/>
      <c r="K31" s="388"/>
      <c r="L31" s="388"/>
      <c r="M31" s="386"/>
      <c r="N31" s="388"/>
      <c r="O31" s="389"/>
      <c r="P31" s="386"/>
      <c r="Q31" s="386"/>
      <c r="R31" s="372"/>
      <c r="S31" s="404"/>
    </row>
    <row r="32" spans="1:21" s="22" customFormat="1" ht="15" thickBot="1" x14ac:dyDescent="0.25">
      <c r="A32" s="403"/>
      <c r="B32" s="367"/>
      <c r="C32" s="390"/>
      <c r="D32" s="390"/>
      <c r="E32" s="312"/>
      <c r="F32" s="312"/>
      <c r="G32" s="313"/>
      <c r="H32" s="314"/>
      <c r="I32" s="314"/>
      <c r="J32" s="313"/>
      <c r="K32" s="391"/>
      <c r="L32" s="391"/>
      <c r="M32" s="313"/>
      <c r="N32" s="391"/>
      <c r="O32" s="315"/>
      <c r="P32" s="313"/>
      <c r="Q32" s="313"/>
      <c r="R32" s="313"/>
      <c r="S32" s="404"/>
    </row>
    <row r="33" spans="1:22" s="22" customFormat="1" ht="15.75" thickBot="1" x14ac:dyDescent="0.3">
      <c r="A33" s="403"/>
      <c r="B33" s="289" t="s">
        <v>65</v>
      </c>
      <c r="C33" s="290"/>
      <c r="D33" s="290"/>
      <c r="E33" s="563"/>
      <c r="F33" s="563"/>
      <c r="G33" s="563"/>
      <c r="H33" s="563"/>
      <c r="I33" s="563"/>
      <c r="J33" s="563"/>
      <c r="K33" s="564"/>
      <c r="L33" s="290" t="s">
        <v>24</v>
      </c>
      <c r="M33" s="562"/>
      <c r="N33" s="563"/>
      <c r="O33" s="563"/>
      <c r="P33" s="563"/>
      <c r="Q33" s="564"/>
      <c r="R33" s="405"/>
      <c r="S33" s="401"/>
      <c r="T33" s="392"/>
      <c r="U33"/>
      <c r="V33"/>
    </row>
    <row r="34" spans="1:22" s="22" customFormat="1" ht="15" thickBot="1" x14ac:dyDescent="0.25">
      <c r="A34" s="368"/>
      <c r="B34" s="406"/>
      <c r="C34" s="384"/>
      <c r="D34" s="384"/>
      <c r="E34" s="385"/>
      <c r="F34" s="385"/>
      <c r="G34" s="386"/>
      <c r="H34" s="387"/>
      <c r="I34" s="387"/>
      <c r="J34" s="386"/>
      <c r="K34" s="388"/>
      <c r="L34" s="388"/>
      <c r="M34" s="386"/>
      <c r="N34" s="388"/>
      <c r="O34" s="389"/>
      <c r="P34" s="386"/>
      <c r="Q34" s="386"/>
      <c r="R34" s="386"/>
      <c r="S34" s="407"/>
    </row>
    <row r="35" spans="1:22" s="22" customFormat="1" x14ac:dyDescent="0.2">
      <c r="A35" s="367"/>
      <c r="B35" s="367"/>
      <c r="C35" s="24"/>
      <c r="D35" s="24"/>
      <c r="E35" s="6"/>
      <c r="F35" s="6"/>
      <c r="G35" s="2"/>
      <c r="H35" s="5"/>
      <c r="I35" s="5"/>
      <c r="J35" s="2"/>
      <c r="K35" s="23"/>
      <c r="L35" s="23"/>
      <c r="M35" s="2"/>
      <c r="N35" s="23"/>
      <c r="O35" s="3"/>
      <c r="P35" s="2"/>
      <c r="Q35" s="2"/>
      <c r="R35" s="313"/>
      <c r="S35" s="367"/>
    </row>
    <row r="36" spans="1:22" s="22" customFormat="1" x14ac:dyDescent="0.2">
      <c r="A36" s="367"/>
      <c r="B36" s="367"/>
      <c r="C36" s="24"/>
      <c r="D36" s="24"/>
      <c r="E36" s="6"/>
      <c r="F36" s="6"/>
      <c r="G36" s="2"/>
      <c r="H36" s="5"/>
      <c r="I36" s="5"/>
      <c r="J36" s="2"/>
      <c r="K36" s="23"/>
      <c r="L36" s="23"/>
      <c r="M36" s="2"/>
      <c r="N36" s="23"/>
      <c r="O36" s="3"/>
      <c r="P36" s="2"/>
      <c r="Q36" s="2"/>
      <c r="R36" s="313"/>
      <c r="S36" s="367"/>
    </row>
    <row r="37" spans="1:22" s="22" customFormat="1" x14ac:dyDescent="0.2">
      <c r="A37" s="367"/>
      <c r="B37" s="367"/>
      <c r="C37" s="24"/>
      <c r="D37" s="24"/>
      <c r="E37" s="6"/>
      <c r="F37" s="6"/>
      <c r="G37" s="2"/>
      <c r="H37" s="5"/>
      <c r="I37" s="5"/>
      <c r="J37" s="2"/>
      <c r="K37" s="23"/>
      <c r="L37" s="23"/>
      <c r="M37" s="2"/>
      <c r="N37" s="23"/>
      <c r="O37" s="3"/>
      <c r="P37" s="2"/>
      <c r="Q37" s="2"/>
      <c r="R37" s="313"/>
      <c r="S37" s="367"/>
    </row>
    <row r="38" spans="1:22" s="22" customFormat="1" x14ac:dyDescent="0.2">
      <c r="A38" s="367"/>
      <c r="B38" s="367"/>
      <c r="C38" s="24"/>
      <c r="D38" s="24"/>
      <c r="E38" s="6"/>
      <c r="F38" s="6"/>
      <c r="G38" s="2"/>
      <c r="H38" s="5"/>
      <c r="I38" s="5"/>
      <c r="J38" s="2"/>
      <c r="K38" s="23"/>
      <c r="L38" s="23"/>
      <c r="M38" s="2"/>
      <c r="N38" s="23"/>
      <c r="O38" s="3"/>
      <c r="P38" s="2"/>
      <c r="Q38" s="2"/>
      <c r="R38" s="313"/>
      <c r="S38" s="367"/>
    </row>
    <row r="39" spans="1:22" s="22" customFormat="1" x14ac:dyDescent="0.2">
      <c r="A39" s="367"/>
      <c r="B39" s="367"/>
      <c r="C39" s="24"/>
      <c r="D39" s="24"/>
      <c r="E39" s="6"/>
      <c r="F39" s="6"/>
      <c r="G39" s="2"/>
      <c r="H39" s="5"/>
      <c r="I39" s="5"/>
      <c r="J39" s="2"/>
      <c r="K39" s="23"/>
      <c r="L39" s="23"/>
      <c r="M39" s="2"/>
      <c r="N39" s="23"/>
      <c r="O39" s="3"/>
      <c r="P39" s="2"/>
      <c r="Q39" s="2"/>
      <c r="R39" s="313"/>
      <c r="S39" s="367"/>
    </row>
    <row r="40" spans="1:22" s="22" customFormat="1" x14ac:dyDescent="0.2">
      <c r="A40" s="367"/>
      <c r="B40" s="367"/>
      <c r="C40" s="24"/>
      <c r="D40" s="24"/>
      <c r="E40" s="6"/>
      <c r="F40" s="6"/>
      <c r="G40" s="2"/>
      <c r="H40" s="5"/>
      <c r="I40" s="5"/>
      <c r="J40" s="2"/>
      <c r="K40" s="23"/>
      <c r="L40" s="23"/>
      <c r="M40" s="2"/>
      <c r="N40" s="23"/>
      <c r="O40" s="3"/>
      <c r="P40" s="2"/>
      <c r="Q40" s="2"/>
      <c r="R40" s="313"/>
      <c r="S40" s="367"/>
    </row>
    <row r="41" spans="1:22" s="22" customFormat="1" x14ac:dyDescent="0.2">
      <c r="A41" s="367"/>
      <c r="B41" s="367"/>
      <c r="C41" s="24"/>
      <c r="D41" s="24"/>
      <c r="E41" s="6"/>
      <c r="F41" s="6"/>
      <c r="G41" s="2"/>
      <c r="H41" s="5"/>
      <c r="I41" s="5"/>
      <c r="J41" s="2"/>
      <c r="K41" s="23"/>
      <c r="L41" s="23"/>
      <c r="M41" s="2"/>
      <c r="N41" s="23"/>
      <c r="O41" s="3"/>
      <c r="P41" s="2"/>
      <c r="Q41" s="2"/>
      <c r="R41" s="313"/>
      <c r="S41" s="367"/>
    </row>
    <row r="42" spans="1:22" s="22" customFormat="1" x14ac:dyDescent="0.2">
      <c r="A42" s="367"/>
      <c r="B42" s="367"/>
      <c r="C42" s="24"/>
      <c r="D42" s="24"/>
      <c r="E42" s="6"/>
      <c r="F42" s="6"/>
      <c r="G42" s="2"/>
      <c r="H42" s="5"/>
      <c r="I42" s="5"/>
      <c r="J42" s="2"/>
      <c r="K42" s="23"/>
      <c r="L42" s="23"/>
      <c r="M42" s="2"/>
      <c r="N42" s="23"/>
      <c r="O42" s="3"/>
      <c r="P42" s="2"/>
      <c r="Q42" s="2"/>
      <c r="R42" s="313"/>
      <c r="S42" s="367"/>
    </row>
    <row r="43" spans="1:22" s="22" customFormat="1" ht="14.25" customHeight="1" x14ac:dyDescent="0.2">
      <c r="A43" s="367"/>
      <c r="B43" s="367"/>
      <c r="C43" s="24"/>
      <c r="D43" s="24"/>
      <c r="E43" s="6"/>
      <c r="F43" s="6"/>
      <c r="G43" s="2"/>
      <c r="H43" s="5"/>
      <c r="I43" s="5"/>
      <c r="J43" s="2"/>
      <c r="K43" s="23"/>
      <c r="L43" s="23"/>
      <c r="M43" s="2"/>
      <c r="N43" s="23"/>
      <c r="O43" s="3"/>
      <c r="P43" s="2"/>
      <c r="Q43" s="2"/>
      <c r="R43" s="313"/>
      <c r="S43" s="367"/>
    </row>
    <row r="44" spans="1:22" s="22" customFormat="1" x14ac:dyDescent="0.2">
      <c r="A44" s="367"/>
      <c r="B44" s="367"/>
      <c r="C44" s="24"/>
      <c r="D44" s="24"/>
      <c r="E44" s="6"/>
      <c r="F44" s="6"/>
      <c r="G44" s="2"/>
      <c r="H44" s="5"/>
      <c r="I44" s="5"/>
      <c r="J44" s="2"/>
      <c r="K44" s="23"/>
      <c r="L44" s="23"/>
      <c r="M44" s="2"/>
      <c r="N44" s="23"/>
      <c r="O44" s="3"/>
      <c r="P44" s="2"/>
      <c r="Q44" s="2"/>
      <c r="R44" s="313"/>
      <c r="S44" s="367"/>
    </row>
    <row r="45" spans="1:22" s="22" customFormat="1" ht="14.25" customHeight="1" x14ac:dyDescent="0.2">
      <c r="A45" s="367"/>
      <c r="B45" s="367"/>
      <c r="C45" s="24"/>
      <c r="D45" s="24"/>
      <c r="E45" s="6"/>
      <c r="F45" s="6"/>
      <c r="G45" s="2"/>
      <c r="H45" s="5"/>
      <c r="I45" s="5"/>
      <c r="J45" s="2"/>
      <c r="K45" s="23"/>
      <c r="L45" s="23"/>
      <c r="M45" s="2"/>
      <c r="N45" s="23"/>
      <c r="O45" s="3"/>
      <c r="P45" s="2"/>
      <c r="Q45" s="2"/>
      <c r="R45" s="313"/>
      <c r="S45" s="367"/>
    </row>
    <row r="46" spans="1:22" s="22" customFormat="1" ht="14.25" customHeight="1" x14ac:dyDescent="0.2">
      <c r="A46" s="367"/>
      <c r="B46" s="367"/>
      <c r="C46" s="24"/>
      <c r="D46" s="24"/>
      <c r="E46" s="6"/>
      <c r="F46" s="6"/>
      <c r="G46" s="2"/>
      <c r="H46" s="5"/>
      <c r="I46" s="5"/>
      <c r="J46" s="2"/>
      <c r="K46" s="23"/>
      <c r="L46" s="23"/>
      <c r="M46" s="2"/>
      <c r="N46" s="23"/>
      <c r="O46" s="3"/>
      <c r="P46" s="2"/>
      <c r="Q46" s="2"/>
      <c r="R46" s="313"/>
      <c r="S46" s="367"/>
    </row>
    <row r="47" spans="1:22" s="22" customFormat="1" ht="14.25" customHeight="1" x14ac:dyDescent="0.2">
      <c r="A47" s="367"/>
      <c r="B47" s="367"/>
      <c r="C47" s="24"/>
      <c r="D47" s="24"/>
      <c r="E47" s="6"/>
      <c r="F47" s="6"/>
      <c r="G47" s="2"/>
      <c r="H47" s="5"/>
      <c r="I47" s="5"/>
      <c r="J47" s="2"/>
      <c r="K47" s="23"/>
      <c r="L47" s="23"/>
      <c r="M47" s="2"/>
      <c r="N47" s="23"/>
      <c r="O47" s="3"/>
      <c r="P47" s="2"/>
      <c r="Q47" s="2"/>
      <c r="R47" s="313"/>
      <c r="S47" s="367"/>
    </row>
    <row r="48" spans="1:22" s="22" customFormat="1" ht="14.25" customHeight="1" x14ac:dyDescent="0.2">
      <c r="A48" s="367"/>
      <c r="B48" s="367"/>
      <c r="C48" s="24"/>
      <c r="D48" s="24"/>
      <c r="E48" s="6"/>
      <c r="F48" s="6"/>
      <c r="G48" s="2"/>
      <c r="H48" s="5"/>
      <c r="I48" s="5"/>
      <c r="J48" s="2"/>
      <c r="K48" s="23"/>
      <c r="L48" s="23"/>
      <c r="M48" s="2"/>
      <c r="N48" s="23"/>
      <c r="O48" s="3"/>
      <c r="P48" s="2"/>
      <c r="Q48" s="2"/>
      <c r="R48" s="313"/>
      <c r="S48" s="367"/>
    </row>
    <row r="49" spans="1:19" s="22" customFormat="1" ht="14.25" customHeight="1" x14ac:dyDescent="0.2">
      <c r="A49" s="367"/>
      <c r="B49" s="367"/>
      <c r="C49" s="24"/>
      <c r="D49" s="24"/>
      <c r="E49" s="6"/>
      <c r="F49" s="6"/>
      <c r="G49" s="2"/>
      <c r="H49" s="5"/>
      <c r="I49" s="5"/>
      <c r="J49" s="2"/>
      <c r="K49" s="23"/>
      <c r="L49" s="23"/>
      <c r="M49" s="2"/>
      <c r="N49" s="23"/>
      <c r="O49" s="3"/>
      <c r="P49" s="2"/>
      <c r="Q49" s="2"/>
      <c r="R49" s="313"/>
      <c r="S49" s="367"/>
    </row>
    <row r="50" spans="1:19" s="22" customFormat="1" x14ac:dyDescent="0.2">
      <c r="A50" s="367"/>
      <c r="B50" s="367"/>
      <c r="C50" s="24"/>
      <c r="D50" s="24"/>
      <c r="E50" s="6"/>
      <c r="F50" s="6"/>
      <c r="G50" s="2"/>
      <c r="H50" s="5"/>
      <c r="I50" s="5"/>
      <c r="J50" s="2"/>
      <c r="K50" s="23"/>
      <c r="L50" s="23"/>
      <c r="M50" s="2"/>
      <c r="N50" s="23"/>
      <c r="O50" s="3"/>
      <c r="P50" s="2"/>
      <c r="Q50" s="2"/>
      <c r="R50" s="313"/>
      <c r="S50" s="367"/>
    </row>
    <row r="51" spans="1:19" s="25" customFormat="1" ht="15" customHeight="1" x14ac:dyDescent="0.2">
      <c r="A51" s="369"/>
      <c r="B51" s="369"/>
      <c r="C51" s="27"/>
      <c r="D51" s="27"/>
      <c r="E51" s="6"/>
      <c r="F51" s="6"/>
      <c r="G51" s="2"/>
      <c r="H51" s="5"/>
      <c r="I51" s="5"/>
      <c r="J51" s="2"/>
      <c r="K51" s="26"/>
      <c r="L51" s="26"/>
      <c r="M51" s="2"/>
      <c r="N51" s="26"/>
      <c r="O51" s="3"/>
      <c r="P51" s="2"/>
      <c r="Q51" s="2"/>
      <c r="R51" s="313"/>
      <c r="S51" s="369"/>
    </row>
    <row r="52" spans="1:19" s="22" customFormat="1" ht="14.25" customHeight="1" x14ac:dyDescent="0.2">
      <c r="A52" s="367"/>
      <c r="B52" s="367"/>
      <c r="C52" s="24"/>
      <c r="D52" s="24"/>
      <c r="E52" s="6"/>
      <c r="F52" s="6"/>
      <c r="G52" s="2"/>
      <c r="H52" s="5"/>
      <c r="I52" s="5"/>
      <c r="J52" s="2"/>
      <c r="K52" s="23"/>
      <c r="L52" s="23"/>
      <c r="M52" s="2"/>
      <c r="N52" s="23"/>
      <c r="O52" s="3"/>
      <c r="P52" s="2"/>
      <c r="Q52" s="2"/>
      <c r="R52" s="313"/>
      <c r="S52" s="367"/>
    </row>
    <row r="53" spans="1:19" s="22" customFormat="1" ht="14.25" customHeight="1" x14ac:dyDescent="0.2">
      <c r="A53" s="367"/>
      <c r="B53" s="367"/>
      <c r="C53" s="24"/>
      <c r="D53" s="24"/>
      <c r="E53" s="6"/>
      <c r="F53" s="6"/>
      <c r="G53" s="2"/>
      <c r="H53" s="5"/>
      <c r="I53" s="5"/>
      <c r="J53" s="2"/>
      <c r="K53" s="23"/>
      <c r="L53" s="23"/>
      <c r="M53" s="2"/>
      <c r="N53" s="23"/>
      <c r="O53" s="3"/>
      <c r="P53" s="2"/>
      <c r="Q53" s="2"/>
      <c r="R53" s="313"/>
      <c r="S53" s="367"/>
    </row>
    <row r="54" spans="1:19" s="22" customFormat="1" ht="14.25" customHeight="1" x14ac:dyDescent="0.2">
      <c r="A54" s="367"/>
      <c r="B54" s="367"/>
      <c r="C54" s="24"/>
      <c r="D54" s="24"/>
      <c r="E54" s="6"/>
      <c r="F54" s="6"/>
      <c r="G54" s="2"/>
      <c r="H54" s="5"/>
      <c r="I54" s="5"/>
      <c r="J54" s="2"/>
      <c r="K54" s="23"/>
      <c r="L54" s="23"/>
      <c r="M54" s="2"/>
      <c r="N54" s="23"/>
      <c r="O54" s="3"/>
      <c r="P54" s="2"/>
      <c r="Q54" s="2"/>
      <c r="R54" s="313"/>
      <c r="S54" s="367"/>
    </row>
    <row r="55" spans="1:19" s="22" customFormat="1" ht="14.25" customHeight="1" x14ac:dyDescent="0.2">
      <c r="A55" s="367"/>
      <c r="B55" s="367"/>
      <c r="C55" s="24"/>
      <c r="D55" s="24"/>
      <c r="E55" s="6"/>
      <c r="F55" s="6"/>
      <c r="G55" s="2"/>
      <c r="H55" s="5"/>
      <c r="I55" s="5"/>
      <c r="J55" s="2"/>
      <c r="K55" s="23"/>
      <c r="L55" s="23"/>
      <c r="M55" s="2"/>
      <c r="N55" s="23"/>
      <c r="O55" s="3"/>
      <c r="P55" s="2"/>
      <c r="Q55" s="2"/>
      <c r="R55" s="313"/>
      <c r="S55" s="367"/>
    </row>
    <row r="56" spans="1:19" s="22" customFormat="1" ht="14.25" customHeight="1" x14ac:dyDescent="0.2">
      <c r="A56" s="367"/>
      <c r="B56" s="367"/>
      <c r="C56" s="24"/>
      <c r="D56" s="24"/>
      <c r="E56" s="6"/>
      <c r="F56" s="6"/>
      <c r="G56" s="2"/>
      <c r="H56" s="5"/>
      <c r="I56" s="5"/>
      <c r="J56" s="2"/>
      <c r="K56" s="23"/>
      <c r="L56" s="23"/>
      <c r="M56" s="2"/>
      <c r="N56" s="23"/>
      <c r="O56" s="3"/>
      <c r="P56" s="2"/>
      <c r="Q56" s="2"/>
      <c r="R56" s="313"/>
      <c r="S56" s="367"/>
    </row>
    <row r="57" spans="1:19" s="22" customFormat="1" ht="14.25" customHeight="1" x14ac:dyDescent="0.2">
      <c r="A57" s="367"/>
      <c r="B57" s="367"/>
      <c r="C57" s="24"/>
      <c r="D57" s="24"/>
      <c r="E57" s="6"/>
      <c r="F57" s="6"/>
      <c r="G57" s="2"/>
      <c r="H57" s="5"/>
      <c r="I57" s="5"/>
      <c r="J57" s="2"/>
      <c r="K57" s="23"/>
      <c r="L57" s="23"/>
      <c r="M57" s="2"/>
      <c r="N57" s="23"/>
      <c r="O57" s="3"/>
      <c r="P57" s="2"/>
      <c r="Q57" s="2"/>
      <c r="R57" s="313"/>
      <c r="S57" s="367"/>
    </row>
    <row r="58" spans="1:19" s="22" customFormat="1" x14ac:dyDescent="0.2">
      <c r="A58" s="367"/>
      <c r="B58" s="367"/>
      <c r="C58" s="24"/>
      <c r="D58" s="24"/>
      <c r="E58" s="6"/>
      <c r="F58" s="6"/>
      <c r="G58" s="2"/>
      <c r="H58" s="5"/>
      <c r="I58" s="5"/>
      <c r="J58" s="2"/>
      <c r="K58" s="23"/>
      <c r="L58" s="23"/>
      <c r="M58" s="2"/>
      <c r="N58" s="23"/>
      <c r="O58" s="3"/>
      <c r="P58" s="2"/>
      <c r="Q58" s="2"/>
      <c r="R58" s="313"/>
      <c r="S58" s="367"/>
    </row>
    <row r="59" spans="1:19" s="22" customFormat="1" x14ac:dyDescent="0.2">
      <c r="A59" s="367"/>
      <c r="B59" s="367"/>
      <c r="C59" s="24"/>
      <c r="D59" s="24"/>
      <c r="E59" s="6"/>
      <c r="F59" s="6"/>
      <c r="G59" s="2"/>
      <c r="H59" s="5"/>
      <c r="I59" s="5"/>
      <c r="J59" s="2"/>
      <c r="K59" s="23"/>
      <c r="L59" s="23"/>
      <c r="M59" s="2"/>
      <c r="N59" s="23"/>
      <c r="O59" s="3"/>
      <c r="P59" s="2"/>
      <c r="Q59" s="2"/>
      <c r="R59" s="313"/>
      <c r="S59" s="367"/>
    </row>
    <row r="60" spans="1:19" s="22" customFormat="1" x14ac:dyDescent="0.2">
      <c r="A60" s="367"/>
      <c r="B60" s="367"/>
      <c r="C60" s="24"/>
      <c r="D60" s="24"/>
      <c r="E60" s="6"/>
      <c r="F60" s="6"/>
      <c r="G60" s="2"/>
      <c r="H60" s="5"/>
      <c r="I60" s="5"/>
      <c r="J60" s="2"/>
      <c r="K60" s="23"/>
      <c r="L60" s="23"/>
      <c r="M60" s="2"/>
      <c r="N60" s="23"/>
      <c r="O60" s="3"/>
      <c r="P60" s="2"/>
      <c r="Q60" s="2"/>
      <c r="R60" s="313"/>
      <c r="S60" s="367"/>
    </row>
    <row r="61" spans="1:19" s="22" customFormat="1" x14ac:dyDescent="0.2">
      <c r="A61" s="367"/>
      <c r="B61" s="367"/>
      <c r="C61" s="24"/>
      <c r="D61" s="24"/>
      <c r="E61" s="6"/>
      <c r="F61" s="6"/>
      <c r="G61" s="2"/>
      <c r="H61" s="5"/>
      <c r="I61" s="5"/>
      <c r="J61" s="2"/>
      <c r="K61" s="23"/>
      <c r="L61" s="23"/>
      <c r="M61" s="2"/>
      <c r="N61" s="23"/>
      <c r="O61" s="3"/>
      <c r="P61" s="2"/>
      <c r="Q61" s="2"/>
      <c r="R61" s="313"/>
      <c r="S61" s="367"/>
    </row>
    <row r="62" spans="1:19" s="22" customFormat="1" x14ac:dyDescent="0.2">
      <c r="A62" s="367"/>
      <c r="B62" s="367"/>
      <c r="C62" s="24"/>
      <c r="D62" s="24"/>
      <c r="E62" s="6"/>
      <c r="F62" s="6"/>
      <c r="G62" s="2"/>
      <c r="H62" s="5"/>
      <c r="I62" s="5"/>
      <c r="J62" s="2"/>
      <c r="K62" s="23"/>
      <c r="L62" s="23"/>
      <c r="M62" s="2"/>
      <c r="N62" s="23"/>
      <c r="O62" s="3"/>
      <c r="P62" s="2"/>
      <c r="Q62" s="2"/>
      <c r="R62" s="313"/>
      <c r="S62" s="367"/>
    </row>
    <row r="63" spans="1:19" s="22" customFormat="1" x14ac:dyDescent="0.2">
      <c r="A63" s="367"/>
      <c r="B63" s="367"/>
      <c r="C63" s="24"/>
      <c r="D63" s="24"/>
      <c r="E63" s="6"/>
      <c r="F63" s="6"/>
      <c r="G63" s="2"/>
      <c r="H63" s="5"/>
      <c r="I63" s="5"/>
      <c r="J63" s="2"/>
      <c r="K63" s="23"/>
      <c r="L63" s="23"/>
      <c r="M63" s="2"/>
      <c r="N63" s="23"/>
      <c r="O63" s="3"/>
      <c r="P63" s="2"/>
      <c r="Q63" s="2"/>
      <c r="R63" s="313"/>
      <c r="S63" s="367"/>
    </row>
    <row r="64" spans="1:19" s="22" customFormat="1" x14ac:dyDescent="0.2">
      <c r="A64" s="367"/>
      <c r="B64" s="367"/>
      <c r="C64" s="24"/>
      <c r="D64" s="24"/>
      <c r="E64" s="6"/>
      <c r="F64" s="6"/>
      <c r="G64" s="2"/>
      <c r="H64" s="5"/>
      <c r="I64" s="5"/>
      <c r="J64" s="2"/>
      <c r="K64" s="23"/>
      <c r="L64" s="23"/>
      <c r="M64" s="2"/>
      <c r="N64" s="23"/>
      <c r="O64" s="3"/>
      <c r="P64" s="2"/>
      <c r="Q64" s="2"/>
      <c r="R64" s="313"/>
      <c r="S64" s="367"/>
    </row>
    <row r="65" spans="1:19" s="22" customFormat="1" x14ac:dyDescent="0.2">
      <c r="A65" s="367"/>
      <c r="B65" s="367"/>
      <c r="C65" s="24"/>
      <c r="D65" s="24"/>
      <c r="E65" s="6"/>
      <c r="F65" s="6"/>
      <c r="G65" s="2"/>
      <c r="H65" s="5"/>
      <c r="I65" s="5"/>
      <c r="J65" s="2"/>
      <c r="K65" s="23"/>
      <c r="L65" s="23"/>
      <c r="M65" s="2"/>
      <c r="N65" s="23"/>
      <c r="O65" s="3"/>
      <c r="P65" s="2"/>
      <c r="Q65" s="2"/>
      <c r="R65" s="313"/>
      <c r="S65" s="367"/>
    </row>
    <row r="66" spans="1:19" s="22" customFormat="1" x14ac:dyDescent="0.2">
      <c r="A66" s="367"/>
      <c r="B66" s="367"/>
      <c r="C66" s="24"/>
      <c r="D66" s="24"/>
      <c r="E66" s="6"/>
      <c r="F66" s="6"/>
      <c r="G66" s="2"/>
      <c r="H66" s="5"/>
      <c r="I66" s="5"/>
      <c r="J66" s="2"/>
      <c r="K66" s="23"/>
      <c r="L66" s="23"/>
      <c r="M66" s="2"/>
      <c r="N66" s="23"/>
      <c r="O66" s="3"/>
      <c r="P66" s="2"/>
      <c r="Q66" s="2"/>
      <c r="R66" s="313"/>
      <c r="S66" s="367"/>
    </row>
    <row r="67" spans="1:19" s="22" customFormat="1" x14ac:dyDescent="0.2">
      <c r="A67" s="367"/>
      <c r="B67" s="367"/>
      <c r="C67" s="24"/>
      <c r="D67" s="24"/>
      <c r="E67" s="6"/>
      <c r="F67" s="6"/>
      <c r="G67" s="2"/>
      <c r="H67" s="5"/>
      <c r="I67" s="5"/>
      <c r="J67" s="2"/>
      <c r="K67" s="23"/>
      <c r="L67" s="23"/>
      <c r="M67" s="2"/>
      <c r="N67" s="23"/>
      <c r="O67" s="3"/>
      <c r="P67" s="2"/>
      <c r="Q67" s="2"/>
      <c r="R67" s="313"/>
      <c r="S67" s="367"/>
    </row>
    <row r="68" spans="1:19" s="22" customFormat="1" x14ac:dyDescent="0.2">
      <c r="A68" s="367"/>
      <c r="B68" s="367"/>
      <c r="C68" s="24"/>
      <c r="D68" s="24"/>
      <c r="E68" s="6"/>
      <c r="F68" s="6"/>
      <c r="G68" s="2"/>
      <c r="H68" s="5"/>
      <c r="I68" s="5"/>
      <c r="J68" s="2"/>
      <c r="K68" s="23"/>
      <c r="L68" s="23"/>
      <c r="M68" s="2"/>
      <c r="N68" s="23"/>
      <c r="O68" s="3"/>
      <c r="P68" s="2"/>
      <c r="Q68" s="2"/>
      <c r="R68" s="313"/>
      <c r="S68" s="367"/>
    </row>
    <row r="69" spans="1:19" s="22" customFormat="1" x14ac:dyDescent="0.2">
      <c r="A69" s="367"/>
      <c r="B69" s="367"/>
      <c r="C69" s="24"/>
      <c r="D69" s="24"/>
      <c r="E69" s="6"/>
      <c r="F69" s="6"/>
      <c r="G69" s="2"/>
      <c r="H69" s="5"/>
      <c r="I69" s="5"/>
      <c r="J69" s="2"/>
      <c r="K69" s="23"/>
      <c r="L69" s="23"/>
      <c r="M69" s="2"/>
      <c r="N69" s="23"/>
      <c r="O69" s="3"/>
      <c r="P69" s="2"/>
      <c r="Q69" s="2"/>
      <c r="R69" s="313"/>
      <c r="S69" s="367"/>
    </row>
    <row r="70" spans="1:19" s="22" customFormat="1" x14ac:dyDescent="0.2">
      <c r="A70" s="367"/>
      <c r="B70" s="367"/>
      <c r="C70" s="24"/>
      <c r="D70" s="24"/>
      <c r="E70" s="6"/>
      <c r="F70" s="6"/>
      <c r="G70" s="2"/>
      <c r="H70" s="5"/>
      <c r="I70" s="5"/>
      <c r="J70" s="2"/>
      <c r="K70" s="23"/>
      <c r="L70" s="23"/>
      <c r="M70" s="2"/>
      <c r="N70" s="23"/>
      <c r="O70" s="3"/>
      <c r="P70" s="2"/>
      <c r="Q70" s="2"/>
      <c r="R70" s="313"/>
      <c r="S70" s="367"/>
    </row>
    <row r="71" spans="1:19" s="22" customFormat="1" x14ac:dyDescent="0.2">
      <c r="A71" s="367"/>
      <c r="B71" s="367"/>
      <c r="C71" s="24"/>
      <c r="D71" s="24"/>
      <c r="E71" s="6"/>
      <c r="F71" s="6"/>
      <c r="G71" s="2"/>
      <c r="H71" s="5"/>
      <c r="I71" s="5"/>
      <c r="J71" s="2"/>
      <c r="K71" s="23"/>
      <c r="L71" s="23"/>
      <c r="M71" s="2"/>
      <c r="N71" s="23"/>
      <c r="O71" s="3"/>
      <c r="P71" s="2"/>
      <c r="Q71" s="2"/>
      <c r="R71" s="313"/>
      <c r="S71" s="367"/>
    </row>
    <row r="72" spans="1:19" s="22" customFormat="1" x14ac:dyDescent="0.2">
      <c r="A72" s="367"/>
      <c r="B72" s="367"/>
      <c r="C72" s="24"/>
      <c r="D72" s="24"/>
      <c r="E72" s="6"/>
      <c r="F72" s="6"/>
      <c r="G72" s="2"/>
      <c r="H72" s="5"/>
      <c r="I72" s="5"/>
      <c r="J72" s="2"/>
      <c r="K72" s="23"/>
      <c r="L72" s="23"/>
      <c r="M72" s="2"/>
      <c r="N72" s="23"/>
      <c r="O72" s="3"/>
      <c r="P72" s="2"/>
      <c r="Q72" s="2"/>
      <c r="R72" s="313"/>
      <c r="S72" s="367"/>
    </row>
    <row r="73" spans="1:19" s="22" customFormat="1" x14ac:dyDescent="0.2">
      <c r="A73" s="367"/>
      <c r="B73" s="367"/>
      <c r="C73" s="24"/>
      <c r="D73" s="24"/>
      <c r="E73" s="6"/>
      <c r="F73" s="6"/>
      <c r="G73" s="2"/>
      <c r="H73" s="5"/>
      <c r="I73" s="5"/>
      <c r="J73" s="2"/>
      <c r="K73" s="23"/>
      <c r="L73" s="23"/>
      <c r="M73" s="2"/>
      <c r="N73" s="23"/>
      <c r="O73" s="3"/>
      <c r="P73" s="2"/>
      <c r="Q73" s="2"/>
      <c r="R73" s="313"/>
      <c r="S73" s="367"/>
    </row>
    <row r="74" spans="1:19" s="22" customFormat="1" x14ac:dyDescent="0.2">
      <c r="A74" s="367"/>
      <c r="B74" s="367"/>
      <c r="C74" s="24"/>
      <c r="D74" s="24"/>
      <c r="E74" s="6"/>
      <c r="F74" s="6"/>
      <c r="G74" s="2"/>
      <c r="H74" s="5"/>
      <c r="I74" s="5"/>
      <c r="J74" s="2"/>
      <c r="K74" s="23"/>
      <c r="L74" s="23"/>
      <c r="M74" s="2"/>
      <c r="N74" s="23"/>
      <c r="O74" s="3"/>
      <c r="P74" s="2"/>
      <c r="Q74" s="2"/>
      <c r="R74" s="313"/>
      <c r="S74" s="367"/>
    </row>
    <row r="75" spans="1:19" s="22" customFormat="1" x14ac:dyDescent="0.2">
      <c r="A75" s="367"/>
      <c r="B75" s="367"/>
      <c r="C75" s="24"/>
      <c r="D75" s="24"/>
      <c r="E75" s="6"/>
      <c r="F75" s="6"/>
      <c r="G75" s="2"/>
      <c r="H75" s="5"/>
      <c r="I75" s="5"/>
      <c r="J75" s="2"/>
      <c r="K75" s="23"/>
      <c r="L75" s="23"/>
      <c r="M75" s="2"/>
      <c r="N75" s="23"/>
      <c r="O75" s="3"/>
      <c r="P75" s="2"/>
      <c r="Q75" s="2"/>
      <c r="R75" s="313"/>
      <c r="S75" s="367"/>
    </row>
    <row r="76" spans="1:19" s="22" customFormat="1" x14ac:dyDescent="0.2">
      <c r="A76" s="367"/>
      <c r="B76" s="367"/>
      <c r="C76" s="24"/>
      <c r="D76" s="24"/>
      <c r="E76" s="6"/>
      <c r="F76" s="6"/>
      <c r="G76" s="2"/>
      <c r="H76" s="5"/>
      <c r="I76" s="5"/>
      <c r="J76" s="2"/>
      <c r="K76" s="23"/>
      <c r="L76" s="23"/>
      <c r="M76" s="2"/>
      <c r="N76" s="23"/>
      <c r="O76" s="3"/>
      <c r="P76" s="2"/>
      <c r="Q76" s="2"/>
      <c r="R76" s="313"/>
      <c r="S76" s="367"/>
    </row>
    <row r="77" spans="1:19" s="22" customFormat="1" x14ac:dyDescent="0.2">
      <c r="A77" s="367"/>
      <c r="B77" s="367"/>
      <c r="C77" s="24"/>
      <c r="D77" s="24"/>
      <c r="E77" s="6"/>
      <c r="F77" s="6"/>
      <c r="G77" s="2"/>
      <c r="H77" s="5"/>
      <c r="I77" s="5"/>
      <c r="J77" s="2"/>
      <c r="K77" s="23"/>
      <c r="L77" s="23"/>
      <c r="M77" s="2"/>
      <c r="N77" s="23"/>
      <c r="O77" s="3"/>
      <c r="P77" s="2"/>
      <c r="Q77" s="2"/>
      <c r="R77" s="313"/>
      <c r="S77" s="367"/>
    </row>
    <row r="78" spans="1:19" s="22" customFormat="1" x14ac:dyDescent="0.2">
      <c r="A78" s="367"/>
      <c r="B78" s="367"/>
      <c r="C78" s="24"/>
      <c r="D78" s="24"/>
      <c r="E78" s="6"/>
      <c r="F78" s="6"/>
      <c r="G78" s="2"/>
      <c r="H78" s="5"/>
      <c r="I78" s="5"/>
      <c r="J78" s="2"/>
      <c r="K78" s="23"/>
      <c r="L78" s="23"/>
      <c r="M78" s="2"/>
      <c r="N78" s="23"/>
      <c r="O78" s="3"/>
      <c r="P78" s="2"/>
      <c r="Q78" s="2"/>
      <c r="R78" s="313"/>
      <c r="S78" s="367"/>
    </row>
    <row r="79" spans="1:19" s="22" customFormat="1" x14ac:dyDescent="0.2">
      <c r="A79" s="367"/>
      <c r="B79" s="367"/>
      <c r="C79" s="24"/>
      <c r="D79" s="24"/>
      <c r="E79" s="6"/>
      <c r="F79" s="6"/>
      <c r="G79" s="2"/>
      <c r="H79" s="5"/>
      <c r="I79" s="5"/>
      <c r="J79" s="2"/>
      <c r="K79" s="23"/>
      <c r="L79" s="23"/>
      <c r="M79" s="2"/>
      <c r="N79" s="23"/>
      <c r="O79" s="3"/>
      <c r="P79" s="2"/>
      <c r="Q79" s="2"/>
      <c r="R79" s="313"/>
      <c r="S79" s="367"/>
    </row>
    <row r="80" spans="1:19" s="22" customFormat="1" x14ac:dyDescent="0.2">
      <c r="A80" s="367"/>
      <c r="B80" s="367"/>
      <c r="C80" s="24"/>
      <c r="D80" s="24"/>
      <c r="E80" s="6"/>
      <c r="F80" s="6"/>
      <c r="G80" s="2"/>
      <c r="H80" s="5"/>
      <c r="I80" s="5"/>
      <c r="J80" s="2"/>
      <c r="K80" s="23"/>
      <c r="L80" s="23"/>
      <c r="M80" s="2"/>
      <c r="N80" s="23"/>
      <c r="O80" s="3"/>
      <c r="P80" s="2"/>
      <c r="Q80" s="2"/>
      <c r="R80" s="313"/>
      <c r="S80" s="367"/>
    </row>
    <row r="81" spans="1:19" s="22" customFormat="1" x14ac:dyDescent="0.2">
      <c r="A81" s="367"/>
      <c r="B81" s="367"/>
      <c r="C81" s="24"/>
      <c r="D81" s="24"/>
      <c r="E81" s="6"/>
      <c r="F81" s="6"/>
      <c r="G81" s="2"/>
      <c r="H81" s="5"/>
      <c r="I81" s="5"/>
      <c r="J81" s="2"/>
      <c r="K81" s="23"/>
      <c r="L81" s="23"/>
      <c r="M81" s="2"/>
      <c r="N81" s="23"/>
      <c r="O81" s="3"/>
      <c r="P81" s="2"/>
      <c r="Q81" s="2"/>
      <c r="R81" s="313"/>
      <c r="S81" s="367"/>
    </row>
    <row r="82" spans="1:19" s="22" customFormat="1" x14ac:dyDescent="0.2">
      <c r="A82" s="367"/>
      <c r="B82" s="367"/>
      <c r="C82" s="24"/>
      <c r="D82" s="24"/>
      <c r="E82" s="6"/>
      <c r="F82" s="6"/>
      <c r="G82" s="2"/>
      <c r="H82" s="5"/>
      <c r="I82" s="5"/>
      <c r="J82" s="2"/>
      <c r="K82" s="23"/>
      <c r="L82" s="23"/>
      <c r="M82" s="2"/>
      <c r="N82" s="23"/>
      <c r="O82" s="3"/>
      <c r="P82" s="2"/>
      <c r="Q82" s="2"/>
      <c r="R82" s="313"/>
      <c r="S82" s="367"/>
    </row>
    <row r="83" spans="1:19" s="22" customFormat="1" x14ac:dyDescent="0.2">
      <c r="A83" s="367"/>
      <c r="B83" s="367"/>
      <c r="C83" s="24"/>
      <c r="D83" s="24"/>
      <c r="E83" s="6"/>
      <c r="F83" s="6"/>
      <c r="G83" s="2"/>
      <c r="H83" s="5"/>
      <c r="I83" s="5"/>
      <c r="J83" s="2"/>
      <c r="K83" s="23"/>
      <c r="L83" s="23"/>
      <c r="M83" s="2"/>
      <c r="N83" s="23"/>
      <c r="O83" s="3"/>
      <c r="P83" s="2"/>
      <c r="Q83" s="2"/>
      <c r="R83" s="313"/>
      <c r="S83" s="367"/>
    </row>
    <row r="84" spans="1:19" s="22" customFormat="1" x14ac:dyDescent="0.2">
      <c r="A84" s="367"/>
      <c r="B84" s="367"/>
      <c r="C84" s="24"/>
      <c r="D84" s="24"/>
      <c r="E84" s="6"/>
      <c r="F84" s="6"/>
      <c r="G84" s="2"/>
      <c r="H84" s="5"/>
      <c r="I84" s="5"/>
      <c r="J84" s="2"/>
      <c r="K84" s="23"/>
      <c r="L84" s="23"/>
      <c r="M84" s="2"/>
      <c r="N84" s="23"/>
      <c r="O84" s="3"/>
      <c r="P84" s="2"/>
      <c r="Q84" s="2"/>
      <c r="R84" s="313"/>
      <c r="S84" s="367"/>
    </row>
    <row r="85" spans="1:19" s="22" customFormat="1" x14ac:dyDescent="0.2">
      <c r="A85" s="367"/>
      <c r="B85" s="367"/>
      <c r="C85" s="24"/>
      <c r="D85" s="24"/>
      <c r="E85" s="6"/>
      <c r="F85" s="6"/>
      <c r="G85" s="2"/>
      <c r="H85" s="5"/>
      <c r="I85" s="5"/>
      <c r="J85" s="2"/>
      <c r="K85" s="23"/>
      <c r="L85" s="23"/>
      <c r="M85" s="2"/>
      <c r="N85" s="23"/>
      <c r="O85" s="3"/>
      <c r="P85" s="2"/>
      <c r="Q85" s="2"/>
      <c r="R85" s="313"/>
      <c r="S85" s="367"/>
    </row>
    <row r="86" spans="1:19" s="22" customFormat="1" x14ac:dyDescent="0.2">
      <c r="A86" s="367"/>
      <c r="B86" s="367"/>
      <c r="C86" s="24"/>
      <c r="D86" s="24"/>
      <c r="E86" s="6"/>
      <c r="F86" s="6"/>
      <c r="G86" s="2"/>
      <c r="H86" s="5"/>
      <c r="I86" s="5"/>
      <c r="J86" s="2"/>
      <c r="K86" s="23"/>
      <c r="L86" s="23"/>
      <c r="M86" s="2"/>
      <c r="N86" s="23"/>
      <c r="O86" s="3"/>
      <c r="P86" s="2"/>
      <c r="Q86" s="2"/>
      <c r="R86" s="313"/>
      <c r="S86" s="367"/>
    </row>
    <row r="87" spans="1:19" s="22" customFormat="1" x14ac:dyDescent="0.2">
      <c r="A87" s="367"/>
      <c r="B87" s="367"/>
      <c r="C87" s="24"/>
      <c r="D87" s="24"/>
      <c r="E87" s="6"/>
      <c r="F87" s="6"/>
      <c r="G87" s="2"/>
      <c r="H87" s="5"/>
      <c r="I87" s="5"/>
      <c r="J87" s="2"/>
      <c r="K87" s="23"/>
      <c r="L87" s="23"/>
      <c r="M87" s="2"/>
      <c r="N87" s="23"/>
      <c r="O87" s="3"/>
      <c r="P87" s="2"/>
      <c r="Q87" s="2"/>
      <c r="R87" s="313"/>
      <c r="S87" s="367"/>
    </row>
    <row r="88" spans="1:19" s="22" customFormat="1" x14ac:dyDescent="0.2">
      <c r="A88" s="367"/>
      <c r="B88" s="367"/>
      <c r="C88" s="24"/>
      <c r="D88" s="24"/>
      <c r="E88" s="6"/>
      <c r="F88" s="6"/>
      <c r="G88" s="2"/>
      <c r="H88" s="5"/>
      <c r="I88" s="5"/>
      <c r="J88" s="2"/>
      <c r="K88" s="23"/>
      <c r="L88" s="23"/>
      <c r="M88" s="2"/>
      <c r="N88" s="23"/>
      <c r="O88" s="3"/>
      <c r="P88" s="2"/>
      <c r="Q88" s="2"/>
      <c r="R88" s="313"/>
      <c r="S88" s="367"/>
    </row>
    <row r="89" spans="1:19" s="22" customFormat="1" x14ac:dyDescent="0.2">
      <c r="A89" s="367"/>
      <c r="B89" s="367"/>
      <c r="C89" s="24"/>
      <c r="D89" s="24"/>
      <c r="E89" s="6"/>
      <c r="F89" s="6"/>
      <c r="G89" s="2"/>
      <c r="H89" s="5"/>
      <c r="I89" s="5"/>
      <c r="J89" s="2"/>
      <c r="K89" s="23"/>
      <c r="L89" s="23"/>
      <c r="M89" s="2"/>
      <c r="N89" s="23"/>
      <c r="O89" s="3"/>
      <c r="P89" s="2"/>
      <c r="Q89" s="2"/>
      <c r="R89" s="313"/>
      <c r="S89" s="367"/>
    </row>
    <row r="90" spans="1:19" s="22" customFormat="1" x14ac:dyDescent="0.2">
      <c r="A90" s="367"/>
      <c r="B90" s="367"/>
      <c r="C90" s="24"/>
      <c r="D90" s="24"/>
      <c r="E90" s="6"/>
      <c r="F90" s="6"/>
      <c r="G90" s="2"/>
      <c r="H90" s="5"/>
      <c r="I90" s="5"/>
      <c r="J90" s="2"/>
      <c r="K90" s="23"/>
      <c r="L90" s="23"/>
      <c r="M90" s="2"/>
      <c r="N90" s="23"/>
      <c r="O90" s="3"/>
      <c r="P90" s="2"/>
      <c r="Q90" s="2"/>
      <c r="R90" s="313"/>
      <c r="S90" s="367"/>
    </row>
    <row r="91" spans="1:19" s="22" customFormat="1" x14ac:dyDescent="0.2">
      <c r="A91" s="367"/>
      <c r="B91" s="367"/>
      <c r="C91" s="24"/>
      <c r="D91" s="24"/>
      <c r="E91" s="6"/>
      <c r="F91" s="6"/>
      <c r="G91" s="2"/>
      <c r="H91" s="5"/>
      <c r="I91" s="5"/>
      <c r="J91" s="2"/>
      <c r="K91" s="23"/>
      <c r="L91" s="23"/>
      <c r="M91" s="2"/>
      <c r="N91" s="23"/>
      <c r="O91" s="3"/>
      <c r="P91" s="2"/>
      <c r="Q91" s="2"/>
      <c r="R91" s="313"/>
      <c r="S91" s="367"/>
    </row>
    <row r="93" spans="1:19" s="15" customFormat="1" ht="12.75" x14ac:dyDescent="0.2">
      <c r="A93" s="399"/>
      <c r="B93" s="399"/>
      <c r="C93" s="21"/>
      <c r="D93" s="21"/>
      <c r="E93" s="20"/>
      <c r="F93" s="20"/>
      <c r="G93" s="16"/>
      <c r="H93" s="19"/>
      <c r="I93" s="19"/>
      <c r="J93" s="16"/>
      <c r="K93" s="18"/>
      <c r="L93" s="18"/>
      <c r="M93" s="16"/>
      <c r="N93" s="18"/>
      <c r="O93" s="17"/>
      <c r="P93" s="16"/>
      <c r="Q93" s="16"/>
      <c r="R93" s="400"/>
      <c r="S93" s="399"/>
    </row>
    <row r="94" spans="1:19" s="8" customFormat="1" ht="15" x14ac:dyDescent="0.25">
      <c r="A94" s="370"/>
      <c r="B94" s="370"/>
      <c r="C94" s="14"/>
      <c r="D94" s="14"/>
      <c r="E94" s="13"/>
      <c r="F94" s="13"/>
      <c r="G94" s="9"/>
      <c r="H94" s="12"/>
      <c r="I94" s="12"/>
      <c r="J94" s="9"/>
      <c r="K94" s="11"/>
      <c r="L94" s="11"/>
      <c r="M94" s="9"/>
      <c r="N94" s="11"/>
      <c r="O94" s="10"/>
      <c r="P94" s="9"/>
      <c r="Q94" s="9"/>
      <c r="R94" s="374"/>
      <c r="S94" s="370"/>
    </row>
  </sheetData>
  <mergeCells count="8">
    <mergeCell ref="E33:K33"/>
    <mergeCell ref="M33:Q33"/>
    <mergeCell ref="C13:Q13"/>
    <mergeCell ref="C22:Q22"/>
    <mergeCell ref="C2:G6"/>
    <mergeCell ref="H3:Q3"/>
    <mergeCell ref="H4:Q4"/>
    <mergeCell ref="H5:Q5"/>
  </mergeCells>
  <printOptions horizontalCentered="1"/>
  <pageMargins left="0.74803149606299213" right="0.74803149606299213" top="0.98425196850393704" bottom="0.98425196850393704" header="0" footer="0"/>
  <pageSetup paperSize="9" scale="50" fitToHeight="0" orientation="portrait"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4B4DB-F21E-47A2-8360-9DFD819176E4}">
  <dimension ref="B1:Z105"/>
  <sheetViews>
    <sheetView view="pageBreakPreview" zoomScale="70" zoomScaleNormal="100" zoomScaleSheetLayoutView="70" workbookViewId="0">
      <selection activeCell="Q13" sqref="Q13"/>
    </sheetView>
  </sheetViews>
  <sheetFormatPr baseColWidth="10" defaultColWidth="12.7109375" defaultRowHeight="16.5" x14ac:dyDescent="0.3"/>
  <cols>
    <col min="1" max="1" width="3.5703125" style="116" customWidth="1"/>
    <col min="2" max="2" width="3.7109375" style="110" customWidth="1"/>
    <col min="3" max="3" width="4.42578125" style="110" customWidth="1"/>
    <col min="4" max="4" width="14" style="111" customWidth="1"/>
    <col min="5" max="5" width="11" style="112" customWidth="1"/>
    <col min="6" max="6" width="12" style="113" customWidth="1"/>
    <col min="7" max="7" width="8.7109375" style="112" customWidth="1"/>
    <col min="8" max="9" width="9.7109375" style="114" customWidth="1"/>
    <col min="10" max="10" width="11" style="112" customWidth="1"/>
    <col min="11" max="11" width="4" style="114" customWidth="1"/>
    <col min="12" max="12" width="11.5703125" style="115" customWidth="1"/>
    <col min="13" max="13" width="10.7109375" style="112" customWidth="1"/>
    <col min="14" max="14" width="12.42578125" style="112" customWidth="1"/>
    <col min="15" max="15" width="2.42578125" style="116" customWidth="1"/>
    <col min="16" max="16" width="1.7109375" style="116" customWidth="1"/>
    <col min="17" max="17" width="7.5703125" style="116" customWidth="1"/>
    <col min="18" max="18" width="6.42578125" style="116" customWidth="1"/>
    <col min="19" max="20" width="12.7109375" style="116" customWidth="1"/>
    <col min="21" max="16384" width="12.7109375" style="116"/>
  </cols>
  <sheetData>
    <row r="1" spans="2:20" ht="12" customHeight="1" thickBot="1" x14ac:dyDescent="0.35"/>
    <row r="2" spans="2:20" ht="70.150000000000006" customHeight="1" thickBot="1" x14ac:dyDescent="0.35">
      <c r="B2" s="117"/>
      <c r="C2" s="118"/>
      <c r="D2" s="118"/>
      <c r="E2" s="118"/>
      <c r="F2" s="119"/>
      <c r="G2" s="118"/>
      <c r="H2" s="118"/>
      <c r="I2" s="118"/>
      <c r="J2" s="120"/>
      <c r="K2" s="121"/>
      <c r="L2" s="121"/>
      <c r="M2" s="121"/>
      <c r="N2" s="122"/>
    </row>
    <row r="3" spans="2:20" ht="6.75" customHeight="1" thickBot="1" x14ac:dyDescent="0.35">
      <c r="B3" s="123"/>
      <c r="C3" s="123"/>
      <c r="D3" s="124"/>
      <c r="E3" s="125"/>
      <c r="F3" s="126"/>
      <c r="G3" s="125"/>
      <c r="H3" s="127"/>
      <c r="I3" s="127"/>
      <c r="J3" s="125"/>
      <c r="K3" s="127"/>
      <c r="L3" s="128"/>
      <c r="M3" s="125"/>
      <c r="N3" s="125"/>
    </row>
    <row r="4" spans="2:20" ht="41.25" customHeight="1" thickBot="1" x14ac:dyDescent="0.35">
      <c r="B4" s="129" t="s">
        <v>23</v>
      </c>
      <c r="C4" s="130"/>
      <c r="D4" s="131"/>
      <c r="E4" s="591" t="s">
        <v>108</v>
      </c>
      <c r="F4" s="591"/>
      <c r="G4" s="591"/>
      <c r="H4" s="592"/>
      <c r="I4" s="132"/>
      <c r="J4" s="133" t="s">
        <v>22</v>
      </c>
      <c r="K4" s="134"/>
      <c r="L4" s="135" t="e">
        <f>+'RUTA CRÍTICA (REG)'!#REF!+1</f>
        <v>#REF!</v>
      </c>
      <c r="M4" s="136" t="s">
        <v>16</v>
      </c>
      <c r="N4" s="137">
        <f>+'VOL. TANQUE (UNICO)'!L8</f>
        <v>2</v>
      </c>
    </row>
    <row r="5" spans="2:20" ht="10.5" customHeight="1" thickBot="1" x14ac:dyDescent="0.35">
      <c r="B5" s="123"/>
      <c r="C5" s="123"/>
      <c r="D5" s="124"/>
      <c r="E5" s="125"/>
      <c r="F5" s="126"/>
      <c r="G5" s="125"/>
      <c r="H5" s="127"/>
      <c r="I5" s="127"/>
      <c r="J5" s="125"/>
      <c r="K5" s="127"/>
      <c r="L5" s="128"/>
      <c r="M5" s="125"/>
      <c r="N5" s="125"/>
    </row>
    <row r="6" spans="2:20" ht="20.100000000000001" customHeight="1" x14ac:dyDescent="0.3">
      <c r="B6" s="138"/>
      <c r="C6" s="139"/>
      <c r="D6" s="140"/>
      <c r="E6" s="141"/>
      <c r="F6" s="142"/>
      <c r="G6" s="141"/>
      <c r="H6" s="143"/>
      <c r="I6" s="143"/>
      <c r="J6" s="144"/>
      <c r="K6" s="144"/>
      <c r="L6" s="145"/>
      <c r="M6" s="146"/>
      <c r="N6" s="147"/>
      <c r="Q6" s="148" t="s">
        <v>17</v>
      </c>
      <c r="R6" s="148" t="s">
        <v>109</v>
      </c>
      <c r="S6" s="148" t="s">
        <v>110</v>
      </c>
    </row>
    <row r="7" spans="2:20" ht="20.100000000000001" customHeight="1" x14ac:dyDescent="0.3">
      <c r="B7" s="149"/>
      <c r="C7" s="150"/>
      <c r="D7" s="151"/>
      <c r="E7" s="152"/>
      <c r="F7" s="153"/>
      <c r="G7" s="152"/>
      <c r="H7" s="152"/>
      <c r="I7" s="152"/>
      <c r="J7" s="152"/>
      <c r="K7" s="152"/>
      <c r="L7" s="154"/>
      <c r="M7" s="152"/>
      <c r="N7" s="155"/>
      <c r="Q7" s="148">
        <v>100</v>
      </c>
      <c r="R7" s="148">
        <v>150</v>
      </c>
      <c r="S7" s="148">
        <v>140</v>
      </c>
    </row>
    <row r="8" spans="2:20" ht="20.100000000000001" customHeight="1" x14ac:dyDescent="0.35">
      <c r="B8" s="156"/>
      <c r="C8" s="157">
        <v>1</v>
      </c>
      <c r="D8" s="158" t="s">
        <v>111</v>
      </c>
      <c r="E8" s="159"/>
      <c r="F8" s="160"/>
      <c r="G8" s="159"/>
      <c r="H8" s="161"/>
      <c r="I8" s="161"/>
      <c r="J8" s="159"/>
      <c r="K8" s="159"/>
      <c r="L8" s="162"/>
      <c r="M8" s="159"/>
      <c r="N8" s="163"/>
    </row>
    <row r="9" spans="2:20" ht="20.100000000000001" customHeight="1" x14ac:dyDescent="0.35">
      <c r="B9" s="164"/>
      <c r="C9" s="165"/>
      <c r="H9" s="166"/>
      <c r="I9" s="166"/>
      <c r="L9" s="167"/>
      <c r="N9" s="168"/>
    </row>
    <row r="10" spans="2:20" ht="20.100000000000001" customHeight="1" x14ac:dyDescent="0.35">
      <c r="B10" s="169"/>
      <c r="C10" s="170"/>
      <c r="D10" s="235" t="s">
        <v>112</v>
      </c>
      <c r="E10" s="132"/>
      <c r="F10" s="132"/>
      <c r="G10" s="132"/>
      <c r="H10" s="171"/>
      <c r="I10" s="166" t="e">
        <f>+'RUTA CRÍTICA (REG)'!#REF!</f>
        <v>#REF!</v>
      </c>
      <c r="J10" s="171" t="s">
        <v>67</v>
      </c>
      <c r="K10" s="172" t="s">
        <v>31</v>
      </c>
      <c r="L10" s="166" t="e">
        <f>I10*15.852</f>
        <v>#REF!</v>
      </c>
      <c r="M10" s="172" t="s">
        <v>60</v>
      </c>
      <c r="N10" s="173"/>
    </row>
    <row r="11" spans="2:20" ht="20.100000000000001" customHeight="1" x14ac:dyDescent="0.35">
      <c r="B11" s="169"/>
      <c r="C11" s="170"/>
      <c r="D11" s="235" t="s">
        <v>129</v>
      </c>
      <c r="E11" s="132"/>
      <c r="F11" s="171"/>
      <c r="G11" s="171"/>
      <c r="H11" s="171"/>
      <c r="I11" s="166">
        <f>+'RUTA CRÍTICA (REG)'!Q20</f>
        <v>112.66</v>
      </c>
      <c r="J11" s="132" t="s">
        <v>113</v>
      </c>
      <c r="K11" s="172" t="s">
        <v>31</v>
      </c>
      <c r="L11" s="166">
        <f>I11*1.425</f>
        <v>160.54050000000001</v>
      </c>
      <c r="M11" s="174" t="s">
        <v>114</v>
      </c>
      <c r="N11" s="173"/>
      <c r="R11" s="114"/>
    </row>
    <row r="12" spans="2:20" ht="20.100000000000001" customHeight="1" x14ac:dyDescent="0.35">
      <c r="B12" s="169"/>
      <c r="C12" s="170"/>
      <c r="D12" s="235" t="s">
        <v>130</v>
      </c>
      <c r="E12" s="132"/>
      <c r="F12" s="132"/>
      <c r="G12" s="132"/>
      <c r="H12" s="132"/>
      <c r="I12" s="166">
        <f>+'C.D.T.'!L41*1.4</f>
        <v>5.6</v>
      </c>
      <c r="J12" s="132" t="s">
        <v>113</v>
      </c>
      <c r="K12" s="172" t="s">
        <v>31</v>
      </c>
      <c r="L12" s="166">
        <f>I12*1.425</f>
        <v>7.9799999999999995</v>
      </c>
      <c r="M12" s="174" t="s">
        <v>114</v>
      </c>
      <c r="N12" s="173"/>
    </row>
    <row r="13" spans="2:20" ht="20.100000000000001" customHeight="1" x14ac:dyDescent="0.35">
      <c r="B13" s="169"/>
      <c r="C13" s="170"/>
      <c r="D13" s="235" t="s">
        <v>115</v>
      </c>
      <c r="E13" s="132"/>
      <c r="F13" s="132"/>
      <c r="G13" s="132"/>
      <c r="H13" s="171"/>
      <c r="I13" s="166"/>
      <c r="J13" s="171"/>
      <c r="K13" s="172" t="s">
        <v>31</v>
      </c>
      <c r="L13" s="166">
        <v>25</v>
      </c>
      <c r="M13" s="172" t="s">
        <v>116</v>
      </c>
      <c r="N13" s="173"/>
      <c r="Q13" s="116">
        <f>+L13*0.3048</f>
        <v>7.62</v>
      </c>
    </row>
    <row r="14" spans="2:20" ht="20.100000000000001" customHeight="1" x14ac:dyDescent="0.3">
      <c r="B14" s="169"/>
      <c r="C14" s="170"/>
      <c r="D14" s="175"/>
      <c r="E14" s="174"/>
      <c r="F14" s="176"/>
      <c r="G14" s="174"/>
      <c r="H14" s="177"/>
      <c r="I14" s="177"/>
      <c r="J14" s="174"/>
      <c r="K14" s="177"/>
      <c r="L14" s="178"/>
      <c r="M14" s="174"/>
      <c r="N14" s="173"/>
    </row>
    <row r="15" spans="2:20" ht="20.100000000000001" customHeight="1" x14ac:dyDescent="0.35">
      <c r="B15" s="169"/>
      <c r="C15" s="170"/>
      <c r="D15" s="179" t="s">
        <v>117</v>
      </c>
      <c r="E15" s="174"/>
      <c r="F15" s="176"/>
      <c r="G15" s="174"/>
      <c r="H15" s="177"/>
      <c r="I15" s="177"/>
      <c r="J15" s="174"/>
      <c r="K15" s="177"/>
      <c r="L15" s="178"/>
      <c r="M15" s="174"/>
      <c r="N15" s="173"/>
    </row>
    <row r="16" spans="2:20" ht="20.100000000000001" customHeight="1" x14ac:dyDescent="0.3">
      <c r="B16" s="169"/>
      <c r="C16" s="170"/>
      <c r="D16" s="175"/>
      <c r="E16" s="174"/>
      <c r="F16" s="176"/>
      <c r="G16" s="174"/>
      <c r="H16" s="177"/>
      <c r="I16" s="177"/>
      <c r="J16" s="174"/>
      <c r="K16" s="177"/>
      <c r="L16" s="178"/>
      <c r="M16" s="174"/>
      <c r="N16" s="173"/>
      <c r="S16" s="180"/>
      <c r="T16" s="174"/>
    </row>
    <row r="17" spans="2:22" ht="20.100000000000001" customHeight="1" x14ac:dyDescent="0.3">
      <c r="B17" s="169"/>
      <c r="C17" s="170"/>
      <c r="D17" s="132"/>
      <c r="E17" s="174"/>
      <c r="F17" s="181"/>
      <c r="G17" s="174"/>
      <c r="H17" s="177"/>
      <c r="I17" s="177"/>
      <c r="J17" s="174"/>
      <c r="K17" s="177"/>
      <c r="L17" s="178"/>
      <c r="M17" s="174"/>
      <c r="N17" s="173"/>
      <c r="Q17" s="182"/>
    </row>
    <row r="18" spans="2:22" ht="20.100000000000001" customHeight="1" x14ac:dyDescent="0.3">
      <c r="B18" s="169"/>
      <c r="C18" s="170"/>
      <c r="D18" s="175"/>
      <c r="E18" s="174"/>
      <c r="F18" s="181"/>
      <c r="G18" s="174"/>
      <c r="H18" s="177"/>
      <c r="I18" s="183"/>
      <c r="J18" s="174"/>
      <c r="K18" s="177"/>
      <c r="L18" s="178"/>
      <c r="M18" s="174"/>
      <c r="N18" s="173"/>
      <c r="Q18" s="182"/>
    </row>
    <row r="19" spans="2:22" ht="20.100000000000001" customHeight="1" x14ac:dyDescent="0.3">
      <c r="B19" s="169"/>
      <c r="C19" s="170"/>
      <c r="D19" s="175"/>
      <c r="E19" s="174"/>
      <c r="F19" s="176"/>
      <c r="G19" s="174"/>
      <c r="H19" s="177"/>
      <c r="I19" s="177"/>
      <c r="J19" s="174"/>
      <c r="K19" s="177"/>
      <c r="L19" s="178"/>
      <c r="M19" s="174"/>
      <c r="N19" s="173"/>
      <c r="Q19" s="182"/>
    </row>
    <row r="20" spans="2:22" ht="20.100000000000001" customHeight="1" x14ac:dyDescent="0.3">
      <c r="B20" s="169"/>
      <c r="C20" s="170"/>
      <c r="D20" s="175"/>
      <c r="E20" s="174"/>
      <c r="F20" s="176"/>
      <c r="G20" s="174"/>
      <c r="H20" s="177"/>
      <c r="I20" s="177"/>
      <c r="J20" s="174"/>
      <c r="K20" s="177"/>
      <c r="L20" s="178"/>
      <c r="M20" s="174"/>
      <c r="N20" s="173"/>
      <c r="Q20" s="182"/>
      <c r="R20" s="116">
        <v>13</v>
      </c>
      <c r="S20" s="116">
        <v>35</v>
      </c>
      <c r="T20" s="116">
        <f>+S20*3.28</f>
        <v>114.8</v>
      </c>
    </row>
    <row r="21" spans="2:22" ht="20.100000000000001" customHeight="1" x14ac:dyDescent="0.35">
      <c r="B21" s="169"/>
      <c r="C21" s="170"/>
      <c r="D21" s="175"/>
      <c r="E21" s="184" t="e">
        <f>SQRT(L10/L13)*0.64</f>
        <v>#REF!</v>
      </c>
      <c r="F21" s="185" t="s">
        <v>118</v>
      </c>
      <c r="H21" s="177"/>
      <c r="I21" s="177"/>
      <c r="J21" s="174"/>
      <c r="K21" s="177"/>
      <c r="L21" s="178"/>
      <c r="M21" s="174"/>
      <c r="N21" s="173"/>
      <c r="Q21" s="182"/>
      <c r="R21" s="114">
        <f>+R20+1</f>
        <v>14</v>
      </c>
      <c r="S21" s="116">
        <f>+S20+2.55</f>
        <v>37.549999999999997</v>
      </c>
      <c r="T21" s="116">
        <f t="shared" ref="T21:T31" si="0">+S21*3.28</f>
        <v>123.16399999999999</v>
      </c>
      <c r="V21" s="177"/>
    </row>
    <row r="22" spans="2:22" ht="20.100000000000001" customHeight="1" x14ac:dyDescent="0.3">
      <c r="B22" s="169"/>
      <c r="C22" s="170"/>
      <c r="D22" s="175"/>
      <c r="E22" s="174"/>
      <c r="F22" s="176"/>
      <c r="G22" s="174"/>
      <c r="H22" s="177"/>
      <c r="I22" s="177"/>
      <c r="J22" s="174"/>
      <c r="K22" s="177"/>
      <c r="L22" s="178"/>
      <c r="M22" s="174"/>
      <c r="N22" s="173"/>
      <c r="Q22" s="182"/>
      <c r="R22" s="114">
        <f t="shared" ref="R22:R31" si="1">+R21+1</f>
        <v>15</v>
      </c>
      <c r="S22" s="116">
        <f t="shared" ref="S22:S31" si="2">+S21+2.55</f>
        <v>40.099999999999994</v>
      </c>
      <c r="T22" s="116">
        <f t="shared" si="0"/>
        <v>131.52799999999996</v>
      </c>
    </row>
    <row r="23" spans="2:22" ht="20.100000000000001" customHeight="1" x14ac:dyDescent="0.3">
      <c r="B23" s="169"/>
      <c r="C23" s="170"/>
      <c r="D23" s="175"/>
      <c r="E23" s="186">
        <v>4</v>
      </c>
      <c r="F23" s="185" t="s">
        <v>118</v>
      </c>
      <c r="H23" s="177"/>
      <c r="I23" s="177"/>
      <c r="J23" s="174"/>
      <c r="K23" s="177"/>
      <c r="L23" s="178"/>
      <c r="M23" s="174"/>
      <c r="N23" s="173"/>
      <c r="Q23" s="182"/>
      <c r="R23" s="114">
        <f t="shared" si="1"/>
        <v>16</v>
      </c>
      <c r="S23" s="116">
        <f t="shared" si="2"/>
        <v>42.649999999999991</v>
      </c>
      <c r="T23" s="116">
        <f t="shared" si="0"/>
        <v>139.89199999999997</v>
      </c>
    </row>
    <row r="24" spans="2:22" ht="20.100000000000001" customHeight="1" x14ac:dyDescent="0.3">
      <c r="B24" s="169"/>
      <c r="C24" s="170"/>
      <c r="D24" s="175"/>
      <c r="E24" s="174"/>
      <c r="F24" s="176"/>
      <c r="G24" s="185"/>
      <c r="H24" s="177"/>
      <c r="I24" s="177"/>
      <c r="J24" s="174"/>
      <c r="K24" s="177"/>
      <c r="L24" s="178"/>
      <c r="M24" s="174"/>
      <c r="N24" s="173"/>
      <c r="Q24" s="182"/>
      <c r="R24" s="114">
        <f t="shared" si="1"/>
        <v>17</v>
      </c>
      <c r="S24" s="116">
        <f t="shared" si="2"/>
        <v>45.199999999999989</v>
      </c>
      <c r="T24" s="116">
        <f t="shared" si="0"/>
        <v>148.25599999999994</v>
      </c>
    </row>
    <row r="25" spans="2:22" ht="20.100000000000001" customHeight="1" x14ac:dyDescent="0.35">
      <c r="B25" s="169"/>
      <c r="C25" s="170"/>
      <c r="D25" s="187" t="s">
        <v>119</v>
      </c>
      <c r="E25" s="174"/>
      <c r="F25" s="176"/>
      <c r="G25" s="174"/>
      <c r="H25" s="177"/>
      <c r="I25" s="177"/>
      <c r="J25" s="174"/>
      <c r="K25" s="177"/>
      <c r="L25" s="178"/>
      <c r="M25" s="174"/>
      <c r="N25" s="173"/>
      <c r="Q25" s="182"/>
      <c r="R25" s="114">
        <f t="shared" si="1"/>
        <v>18</v>
      </c>
      <c r="S25" s="116">
        <f t="shared" si="2"/>
        <v>47.749999999999986</v>
      </c>
      <c r="T25" s="116">
        <f t="shared" si="0"/>
        <v>156.61999999999995</v>
      </c>
    </row>
    <row r="26" spans="2:22" ht="20.100000000000001" customHeight="1" x14ac:dyDescent="0.3">
      <c r="B26" s="169"/>
      <c r="C26" s="170"/>
      <c r="D26" s="175"/>
      <c r="E26" s="174"/>
      <c r="F26" s="176"/>
      <c r="G26" s="174"/>
      <c r="H26" s="177"/>
      <c r="I26" s="177"/>
      <c r="J26" s="174"/>
      <c r="K26" s="177"/>
      <c r="L26" s="178"/>
      <c r="M26" s="174"/>
      <c r="N26" s="173"/>
      <c r="Q26" s="182"/>
      <c r="R26" s="114">
        <f t="shared" si="1"/>
        <v>19</v>
      </c>
      <c r="S26" s="116">
        <f t="shared" si="2"/>
        <v>50.299999999999983</v>
      </c>
      <c r="T26" s="116">
        <f t="shared" si="0"/>
        <v>164.98399999999992</v>
      </c>
    </row>
    <row r="27" spans="2:22" ht="20.100000000000001" customHeight="1" x14ac:dyDescent="0.3">
      <c r="B27" s="169"/>
      <c r="C27" s="170"/>
      <c r="D27" s="132"/>
      <c r="E27" s="174"/>
      <c r="F27" s="176"/>
      <c r="G27" s="174"/>
      <c r="H27" s="177"/>
      <c r="I27" s="177"/>
      <c r="J27" s="174"/>
      <c r="K27" s="177"/>
      <c r="L27" s="178"/>
      <c r="M27" s="174"/>
      <c r="N27" s="173"/>
      <c r="Q27" s="182"/>
      <c r="R27" s="114">
        <f t="shared" si="1"/>
        <v>20</v>
      </c>
      <c r="S27" s="116">
        <f t="shared" si="2"/>
        <v>52.84999999999998</v>
      </c>
      <c r="T27" s="116">
        <f t="shared" si="0"/>
        <v>173.34799999999993</v>
      </c>
    </row>
    <row r="28" spans="2:22" ht="20.100000000000001" customHeight="1" x14ac:dyDescent="0.3">
      <c r="B28" s="169"/>
      <c r="C28" s="170"/>
      <c r="D28" s="175"/>
      <c r="E28" s="174"/>
      <c r="F28" s="176"/>
      <c r="G28" s="174"/>
      <c r="H28" s="177"/>
      <c r="I28" s="177"/>
      <c r="J28" s="174"/>
      <c r="K28" s="177"/>
      <c r="L28" s="178"/>
      <c r="M28" s="174"/>
      <c r="N28" s="173"/>
      <c r="Q28" s="182"/>
      <c r="R28" s="114">
        <f t="shared" si="1"/>
        <v>21</v>
      </c>
      <c r="S28" s="116">
        <f t="shared" si="2"/>
        <v>55.399999999999977</v>
      </c>
      <c r="T28" s="116">
        <f t="shared" si="0"/>
        <v>181.7119999999999</v>
      </c>
    </row>
    <row r="29" spans="2:22" ht="20.100000000000001" customHeight="1" x14ac:dyDescent="0.3">
      <c r="B29" s="169"/>
      <c r="C29" s="170"/>
      <c r="D29" s="175"/>
      <c r="E29" s="174"/>
      <c r="F29" s="176"/>
      <c r="G29" s="174"/>
      <c r="H29" s="177"/>
      <c r="I29" s="177"/>
      <c r="J29" s="174"/>
      <c r="K29" s="177"/>
      <c r="L29" s="178"/>
      <c r="M29" s="174"/>
      <c r="N29" s="173"/>
      <c r="Q29" s="182"/>
      <c r="R29" s="114">
        <f t="shared" si="1"/>
        <v>22</v>
      </c>
      <c r="S29" s="116">
        <f t="shared" si="2"/>
        <v>57.949999999999974</v>
      </c>
      <c r="T29" s="116">
        <f t="shared" si="0"/>
        <v>190.07599999999991</v>
      </c>
    </row>
    <row r="30" spans="2:22" ht="20.100000000000001" customHeight="1" x14ac:dyDescent="0.3">
      <c r="B30" s="169"/>
      <c r="C30" s="170"/>
      <c r="D30" s="175"/>
      <c r="E30" s="174"/>
      <c r="F30" s="176"/>
      <c r="G30" s="174"/>
      <c r="H30" s="177"/>
      <c r="I30" s="177"/>
      <c r="J30" s="174"/>
      <c r="K30" s="177"/>
      <c r="L30" s="178"/>
      <c r="M30" s="174"/>
      <c r="N30" s="173"/>
      <c r="Q30" s="182"/>
      <c r="R30" s="114">
        <f t="shared" si="1"/>
        <v>23</v>
      </c>
      <c r="S30" s="116">
        <f t="shared" si="2"/>
        <v>60.499999999999972</v>
      </c>
      <c r="T30" s="116">
        <f t="shared" si="0"/>
        <v>198.43999999999988</v>
      </c>
    </row>
    <row r="31" spans="2:22" ht="20.100000000000001" customHeight="1" x14ac:dyDescent="0.35">
      <c r="B31" s="169"/>
      <c r="C31" s="170"/>
      <c r="D31" s="175"/>
      <c r="E31" s="174"/>
      <c r="F31" s="188"/>
      <c r="G31" s="189" t="e">
        <f>(+L10/(SQRT(L12-L11))*1.25)</f>
        <v>#REF!</v>
      </c>
      <c r="H31" s="177"/>
      <c r="I31" s="177"/>
      <c r="J31" s="174"/>
      <c r="K31" s="177"/>
      <c r="L31" s="178"/>
      <c r="M31" s="174"/>
      <c r="N31" s="173"/>
      <c r="Q31" s="182"/>
      <c r="R31" s="114">
        <f t="shared" si="1"/>
        <v>24</v>
      </c>
      <c r="S31" s="116">
        <f t="shared" si="2"/>
        <v>63.049999999999969</v>
      </c>
      <c r="T31" s="116">
        <f t="shared" si="0"/>
        <v>206.80399999999989</v>
      </c>
    </row>
    <row r="32" spans="2:22" ht="20.100000000000001" customHeight="1" thickBot="1" x14ac:dyDescent="0.35">
      <c r="B32" s="169"/>
      <c r="C32" s="170"/>
      <c r="D32" s="175"/>
      <c r="E32" s="174"/>
      <c r="F32" s="176"/>
      <c r="G32" s="174"/>
      <c r="H32" s="177"/>
      <c r="I32" s="177"/>
      <c r="J32" s="174"/>
      <c r="K32" s="177"/>
      <c r="L32" s="178"/>
      <c r="M32" s="174"/>
      <c r="N32" s="173"/>
      <c r="Q32" s="182"/>
      <c r="R32" s="114"/>
    </row>
    <row r="33" spans="2:26" ht="20.100000000000001" customHeight="1" x14ac:dyDescent="0.35">
      <c r="B33" s="169"/>
      <c r="C33" s="170"/>
      <c r="D33" s="171" t="s">
        <v>120</v>
      </c>
      <c r="E33" s="190"/>
      <c r="F33" s="191">
        <v>8.8000000000000007</v>
      </c>
      <c r="H33" s="177"/>
      <c r="I33" s="177"/>
      <c r="J33" s="174"/>
      <c r="K33" s="177"/>
      <c r="L33" s="178"/>
      <c r="M33" s="174"/>
      <c r="N33" s="173"/>
      <c r="Q33" s="182"/>
      <c r="V33" s="192">
        <v>1</v>
      </c>
      <c r="W33" s="193"/>
      <c r="Y33" s="174"/>
      <c r="Z33" s="176"/>
    </row>
    <row r="34" spans="2:26" ht="20.100000000000001" customHeight="1" x14ac:dyDescent="0.35">
      <c r="B34" s="169"/>
      <c r="C34" s="170"/>
      <c r="D34" s="171" t="s">
        <v>121</v>
      </c>
      <c r="E34" s="190"/>
      <c r="F34" s="191">
        <v>19.899999999999999</v>
      </c>
      <c r="H34" s="177"/>
      <c r="I34" s="177"/>
      <c r="J34" s="174"/>
      <c r="K34" s="177"/>
      <c r="L34" s="178"/>
      <c r="M34" s="174"/>
      <c r="N34" s="173"/>
      <c r="Q34" s="182"/>
      <c r="V34" s="194">
        <v>1.5</v>
      </c>
      <c r="W34" s="195"/>
      <c r="X34" s="171"/>
      <c r="Y34" s="174"/>
      <c r="Z34" s="176"/>
    </row>
    <row r="35" spans="2:26" ht="20.100000000000001" customHeight="1" x14ac:dyDescent="0.35">
      <c r="B35" s="169"/>
      <c r="C35" s="170"/>
      <c r="D35" s="171" t="s">
        <v>122</v>
      </c>
      <c r="E35" s="190"/>
      <c r="F35" s="191">
        <v>28.3</v>
      </c>
      <c r="H35" s="177"/>
      <c r="I35" s="177"/>
      <c r="J35" s="174"/>
      <c r="K35" s="177"/>
      <c r="L35" s="178"/>
      <c r="M35" s="174"/>
      <c r="N35" s="173"/>
      <c r="Q35" s="182"/>
      <c r="V35" s="194">
        <v>2</v>
      </c>
      <c r="W35" s="195"/>
      <c r="X35" s="171"/>
      <c r="Y35" s="174"/>
      <c r="Z35" s="176"/>
    </row>
    <row r="36" spans="2:26" ht="20.100000000000001" customHeight="1" x14ac:dyDescent="0.35">
      <c r="B36" s="169"/>
      <c r="C36" s="170"/>
      <c r="D36" s="171" t="s">
        <v>123</v>
      </c>
      <c r="E36" s="190"/>
      <c r="F36" s="191">
        <v>124</v>
      </c>
      <c r="H36" s="177"/>
      <c r="I36" s="196"/>
      <c r="J36" s="174"/>
      <c r="K36" s="177"/>
      <c r="L36" s="178"/>
      <c r="M36" s="174"/>
      <c r="N36" s="173"/>
      <c r="Q36" s="182"/>
      <c r="V36" s="194">
        <v>3</v>
      </c>
      <c r="W36" s="195"/>
      <c r="X36" s="171"/>
      <c r="Y36" s="174"/>
      <c r="Z36" s="176"/>
    </row>
    <row r="37" spans="2:26" ht="20.100000000000001" customHeight="1" thickBot="1" x14ac:dyDescent="0.4">
      <c r="B37" s="169"/>
      <c r="C37" s="170"/>
      <c r="D37" s="171" t="s">
        <v>124</v>
      </c>
      <c r="E37" s="190"/>
      <c r="F37" s="191">
        <v>220</v>
      </c>
      <c r="H37" s="177"/>
      <c r="I37" s="177"/>
      <c r="J37" s="174"/>
      <c r="K37" s="177"/>
      <c r="L37" s="178"/>
      <c r="M37" s="174"/>
      <c r="N37" s="173"/>
      <c r="Q37" s="182"/>
      <c r="V37" s="197">
        <v>4</v>
      </c>
      <c r="W37" s="198"/>
      <c r="X37" s="171"/>
      <c r="Y37" s="174"/>
      <c r="Z37" s="176"/>
    </row>
    <row r="38" spans="2:26" ht="20.100000000000001" customHeight="1" x14ac:dyDescent="0.35">
      <c r="B38" s="169"/>
      <c r="C38" s="170"/>
      <c r="D38" s="171"/>
      <c r="E38" s="174"/>
      <c r="F38" s="176"/>
      <c r="G38" s="174"/>
      <c r="H38" s="177"/>
      <c r="I38" s="177"/>
      <c r="J38" s="174"/>
      <c r="K38" s="177"/>
      <c r="L38" s="178"/>
      <c r="M38" s="174"/>
      <c r="N38" s="173"/>
      <c r="Q38" s="182"/>
      <c r="X38" s="171"/>
      <c r="Y38" s="174"/>
      <c r="Z38" s="176"/>
    </row>
    <row r="39" spans="2:26" ht="20.100000000000001" customHeight="1" thickBot="1" x14ac:dyDescent="0.4">
      <c r="B39" s="169"/>
      <c r="C39" s="170"/>
      <c r="D39" s="171" t="s">
        <v>125</v>
      </c>
      <c r="E39" s="174"/>
      <c r="F39" s="176"/>
      <c r="G39" s="174"/>
      <c r="H39" s="177"/>
      <c r="I39" s="177"/>
      <c r="J39" s="174"/>
      <c r="K39" s="177"/>
      <c r="L39" s="178"/>
      <c r="M39" s="174"/>
      <c r="N39" s="173"/>
      <c r="Q39" s="182"/>
    </row>
    <row r="40" spans="2:26" ht="20.100000000000001" customHeight="1" thickBot="1" x14ac:dyDescent="0.4">
      <c r="B40" s="169"/>
      <c r="C40" s="170"/>
      <c r="D40" s="187" t="s">
        <v>126</v>
      </c>
      <c r="E40" s="174"/>
      <c r="F40" s="176"/>
      <c r="G40" s="174"/>
      <c r="H40" s="199" t="e">
        <f>IF(F33&gt;G31,V33,IF(F34&gt;G31,V34,IF(F35&gt;G31,V35,IF(F36&gt;G31,V36,IF(F37&gt;G31,V37,"""PILAS")))))</f>
        <v>#REF!</v>
      </c>
      <c r="I40" s="200" t="s">
        <v>127</v>
      </c>
      <c r="J40" s="174"/>
      <c r="K40" s="177"/>
      <c r="L40" s="178"/>
      <c r="M40" s="174"/>
      <c r="N40" s="173"/>
      <c r="Q40" s="182"/>
    </row>
    <row r="41" spans="2:26" ht="20.100000000000001" customHeight="1" x14ac:dyDescent="0.35">
      <c r="B41" s="169"/>
      <c r="C41" s="170"/>
      <c r="D41" s="175"/>
      <c r="E41" s="174"/>
      <c r="F41" s="201"/>
      <c r="G41" s="202"/>
      <c r="H41" s="177"/>
      <c r="I41" s="177"/>
      <c r="J41" s="174"/>
      <c r="K41" s="203"/>
      <c r="L41" s="178"/>
      <c r="M41" s="174"/>
      <c r="N41" s="173"/>
      <c r="Q41" s="182"/>
    </row>
    <row r="42" spans="2:26" s="212" customFormat="1" ht="12" customHeight="1" thickBot="1" x14ac:dyDescent="0.35">
      <c r="B42" s="204"/>
      <c r="C42" s="205"/>
      <c r="D42" s="206"/>
      <c r="E42" s="207"/>
      <c r="F42" s="208"/>
      <c r="G42" s="207"/>
      <c r="H42" s="209"/>
      <c r="I42" s="209"/>
      <c r="J42" s="207"/>
      <c r="K42" s="209"/>
      <c r="L42" s="210"/>
      <c r="M42" s="207"/>
      <c r="N42" s="211"/>
    </row>
    <row r="43" spans="2:26" s="212" customFormat="1" ht="17.25" thickBot="1" x14ac:dyDescent="0.35">
      <c r="B43" s="213"/>
      <c r="C43" s="213"/>
      <c r="D43" s="214"/>
      <c r="E43" s="112"/>
      <c r="F43" s="113"/>
      <c r="G43" s="112"/>
      <c r="H43" s="215"/>
      <c r="I43" s="215"/>
      <c r="J43" s="112"/>
      <c r="K43" s="215"/>
      <c r="L43" s="115"/>
      <c r="M43" s="112"/>
      <c r="N43" s="112"/>
    </row>
    <row r="44" spans="2:26" s="212" customFormat="1" ht="17.25" thickBot="1" x14ac:dyDescent="0.35">
      <c r="B44" s="216" t="s">
        <v>65</v>
      </c>
      <c r="C44" s="217"/>
      <c r="D44" s="217"/>
      <c r="E44" s="217"/>
      <c r="F44" s="217"/>
      <c r="G44" s="217"/>
      <c r="H44" s="217"/>
      <c r="I44" s="217"/>
      <c r="J44" s="217"/>
      <c r="K44" s="218" t="s">
        <v>128</v>
      </c>
      <c r="L44" s="217"/>
      <c r="M44" s="217"/>
      <c r="N44" s="219"/>
      <c r="O44" s="116"/>
    </row>
    <row r="45" spans="2:26" s="212" customFormat="1" x14ac:dyDescent="0.3">
      <c r="B45" s="213"/>
      <c r="C45" s="213"/>
      <c r="D45" s="214"/>
      <c r="E45" s="112"/>
      <c r="F45" s="113"/>
      <c r="G45" s="112"/>
      <c r="H45" s="215"/>
      <c r="I45" s="215"/>
      <c r="J45" s="112"/>
      <c r="K45" s="215"/>
      <c r="L45" s="115"/>
      <c r="M45" s="112"/>
      <c r="N45" s="112"/>
    </row>
    <row r="46" spans="2:26" s="212" customFormat="1" x14ac:dyDescent="0.3">
      <c r="B46" s="213"/>
      <c r="C46" s="213"/>
      <c r="D46" s="214"/>
      <c r="E46" s="112"/>
      <c r="F46" s="113"/>
      <c r="G46" s="112"/>
      <c r="H46" s="215"/>
      <c r="I46" s="215"/>
      <c r="J46" s="112"/>
      <c r="K46" s="215"/>
      <c r="L46" s="115"/>
      <c r="M46" s="112"/>
      <c r="N46" s="112"/>
    </row>
    <row r="47" spans="2:26" s="212" customFormat="1" x14ac:dyDescent="0.3">
      <c r="B47" s="213"/>
      <c r="C47" s="213"/>
      <c r="D47" s="214"/>
      <c r="E47" s="112"/>
      <c r="F47" s="113"/>
      <c r="G47" s="112"/>
      <c r="H47" s="215"/>
      <c r="I47" s="215"/>
      <c r="J47" s="112"/>
      <c r="K47" s="215"/>
      <c r="L47" s="115"/>
      <c r="M47" s="112"/>
      <c r="N47" s="112"/>
    </row>
    <row r="48" spans="2:26" s="212" customFormat="1" x14ac:dyDescent="0.3">
      <c r="B48" s="213"/>
      <c r="C48" s="213"/>
      <c r="D48" s="214"/>
      <c r="E48" s="112"/>
      <c r="F48" s="113"/>
      <c r="G48" s="112"/>
      <c r="H48" s="215"/>
      <c r="I48" s="215"/>
      <c r="J48" s="112"/>
      <c r="K48" s="215"/>
      <c r="L48" s="115"/>
      <c r="M48" s="112"/>
      <c r="N48" s="112"/>
    </row>
    <row r="49" spans="2:14" s="212" customFormat="1" x14ac:dyDescent="0.3">
      <c r="B49" s="213"/>
      <c r="C49" s="213"/>
      <c r="D49" s="214"/>
      <c r="E49" s="112"/>
      <c r="F49" s="113"/>
      <c r="G49" s="112"/>
      <c r="H49" s="215"/>
      <c r="I49" s="215"/>
      <c r="J49" s="112"/>
      <c r="K49" s="215"/>
      <c r="L49" s="115"/>
      <c r="M49" s="112"/>
      <c r="N49" s="112"/>
    </row>
    <row r="50" spans="2:14" s="212" customFormat="1" x14ac:dyDescent="0.3">
      <c r="B50" s="213"/>
      <c r="C50" s="213"/>
      <c r="D50" s="214"/>
      <c r="E50" s="112"/>
      <c r="F50" s="113"/>
      <c r="G50" s="112"/>
      <c r="H50" s="215"/>
      <c r="I50" s="215"/>
      <c r="J50" s="112"/>
      <c r="K50" s="215"/>
      <c r="L50" s="115"/>
      <c r="M50" s="112"/>
      <c r="N50" s="112"/>
    </row>
    <row r="51" spans="2:14" s="212" customFormat="1" x14ac:dyDescent="0.3">
      <c r="B51" s="213"/>
      <c r="C51" s="213"/>
      <c r="D51" s="214"/>
      <c r="E51" s="112"/>
      <c r="F51" s="113"/>
      <c r="G51" s="112"/>
      <c r="H51" s="215"/>
      <c r="I51" s="215"/>
      <c r="J51" s="112"/>
      <c r="K51" s="215"/>
      <c r="L51" s="115"/>
      <c r="M51" s="112"/>
      <c r="N51" s="112"/>
    </row>
    <row r="52" spans="2:14" s="212" customFormat="1" x14ac:dyDescent="0.3">
      <c r="B52" s="213"/>
      <c r="C52" s="213"/>
      <c r="D52" s="214"/>
      <c r="E52" s="112"/>
      <c r="F52" s="113"/>
      <c r="G52" s="112"/>
      <c r="H52" s="215"/>
      <c r="I52" s="215"/>
      <c r="J52" s="112"/>
      <c r="K52" s="215"/>
      <c r="L52" s="115"/>
      <c r="M52" s="112"/>
      <c r="N52" s="112"/>
    </row>
    <row r="53" spans="2:14" s="212" customFormat="1" x14ac:dyDescent="0.3">
      <c r="B53" s="213"/>
      <c r="C53" s="213"/>
      <c r="D53" s="214"/>
      <c r="E53" s="112"/>
      <c r="F53" s="113"/>
      <c r="G53" s="112"/>
      <c r="H53" s="215"/>
      <c r="I53" s="215"/>
      <c r="J53" s="112"/>
      <c r="K53" s="215"/>
      <c r="L53" s="115"/>
      <c r="M53" s="112"/>
      <c r="N53" s="112"/>
    </row>
    <row r="54" spans="2:14" s="212" customFormat="1" ht="14.25" customHeight="1" x14ac:dyDescent="0.3">
      <c r="B54" s="213"/>
      <c r="C54" s="213"/>
      <c r="D54" s="214"/>
      <c r="E54" s="112"/>
      <c r="F54" s="113"/>
      <c r="G54" s="112"/>
      <c r="H54" s="215"/>
      <c r="I54" s="215"/>
      <c r="J54" s="112"/>
      <c r="K54" s="215"/>
      <c r="L54" s="115"/>
      <c r="M54" s="112"/>
      <c r="N54" s="112"/>
    </row>
    <row r="55" spans="2:14" s="212" customFormat="1" x14ac:dyDescent="0.3">
      <c r="B55" s="213"/>
      <c r="C55" s="213"/>
      <c r="D55" s="214"/>
      <c r="E55" s="112"/>
      <c r="F55" s="113"/>
      <c r="G55" s="112"/>
      <c r="H55" s="215"/>
      <c r="I55" s="215"/>
      <c r="J55" s="112"/>
      <c r="K55" s="215"/>
      <c r="L55" s="115"/>
      <c r="M55" s="112"/>
      <c r="N55" s="112"/>
    </row>
    <row r="56" spans="2:14" s="212" customFormat="1" ht="14.25" customHeight="1" x14ac:dyDescent="0.3">
      <c r="B56" s="213"/>
      <c r="C56" s="213"/>
      <c r="D56" s="214"/>
      <c r="E56" s="112"/>
      <c r="F56" s="113"/>
      <c r="G56" s="112"/>
      <c r="H56" s="215"/>
      <c r="I56" s="215"/>
      <c r="J56" s="112"/>
      <c r="K56" s="215"/>
      <c r="L56" s="115"/>
      <c r="M56" s="112"/>
      <c r="N56" s="112"/>
    </row>
    <row r="57" spans="2:14" s="212" customFormat="1" ht="14.25" customHeight="1" x14ac:dyDescent="0.3">
      <c r="B57" s="213"/>
      <c r="C57" s="213"/>
      <c r="D57" s="214"/>
      <c r="E57" s="112"/>
      <c r="F57" s="113"/>
      <c r="G57" s="112"/>
      <c r="H57" s="215"/>
      <c r="I57" s="215"/>
      <c r="J57" s="112"/>
      <c r="K57" s="215"/>
      <c r="L57" s="115"/>
      <c r="M57" s="112"/>
      <c r="N57" s="112"/>
    </row>
    <row r="58" spans="2:14" s="212" customFormat="1" ht="14.25" customHeight="1" x14ac:dyDescent="0.3">
      <c r="B58" s="213"/>
      <c r="C58" s="213"/>
      <c r="D58" s="214"/>
      <c r="E58" s="112"/>
      <c r="F58" s="113"/>
      <c r="G58" s="112"/>
      <c r="H58" s="215"/>
      <c r="I58" s="215"/>
      <c r="J58" s="112"/>
      <c r="K58" s="215"/>
      <c r="L58" s="115"/>
      <c r="M58" s="112"/>
      <c r="N58" s="112"/>
    </row>
    <row r="59" spans="2:14" s="212" customFormat="1" ht="14.25" customHeight="1" x14ac:dyDescent="0.3">
      <c r="B59" s="213"/>
      <c r="C59" s="213"/>
      <c r="D59" s="214"/>
      <c r="E59" s="112"/>
      <c r="F59" s="113"/>
      <c r="G59" s="112"/>
      <c r="H59" s="215"/>
      <c r="I59" s="215"/>
      <c r="J59" s="112"/>
      <c r="K59" s="215"/>
      <c r="L59" s="115"/>
      <c r="M59" s="112"/>
      <c r="N59" s="112"/>
    </row>
    <row r="60" spans="2:14" s="212" customFormat="1" ht="14.25" customHeight="1" x14ac:dyDescent="0.3">
      <c r="B60" s="213"/>
      <c r="C60" s="213"/>
      <c r="D60" s="214"/>
      <c r="E60" s="112"/>
      <c r="F60" s="113"/>
      <c r="G60" s="112"/>
      <c r="H60" s="215"/>
      <c r="I60" s="215"/>
      <c r="J60" s="112"/>
      <c r="K60" s="215"/>
      <c r="L60" s="115"/>
      <c r="M60" s="112"/>
      <c r="N60" s="112"/>
    </row>
    <row r="61" spans="2:14" s="212" customFormat="1" x14ac:dyDescent="0.3">
      <c r="B61" s="213"/>
      <c r="C61" s="213"/>
      <c r="D61" s="214"/>
      <c r="E61" s="112"/>
      <c r="F61" s="113"/>
      <c r="G61" s="112"/>
      <c r="H61" s="215"/>
      <c r="I61" s="215"/>
      <c r="J61" s="112"/>
      <c r="K61" s="215"/>
      <c r="L61" s="115"/>
      <c r="M61" s="112"/>
      <c r="N61" s="112"/>
    </row>
    <row r="62" spans="2:14" s="222" customFormat="1" ht="15" customHeight="1" x14ac:dyDescent="0.3">
      <c r="B62" s="220"/>
      <c r="C62" s="220"/>
      <c r="D62" s="214"/>
      <c r="E62" s="112"/>
      <c r="F62" s="113"/>
      <c r="G62" s="112"/>
      <c r="H62" s="221"/>
      <c r="I62" s="221"/>
      <c r="J62" s="112"/>
      <c r="K62" s="221"/>
      <c r="L62" s="115"/>
      <c r="M62" s="112"/>
      <c r="N62" s="112"/>
    </row>
    <row r="63" spans="2:14" s="212" customFormat="1" ht="14.25" customHeight="1" x14ac:dyDescent="0.3">
      <c r="B63" s="213"/>
      <c r="C63" s="213"/>
      <c r="D63" s="214"/>
      <c r="E63" s="112"/>
      <c r="F63" s="113"/>
      <c r="G63" s="112"/>
      <c r="H63" s="215"/>
      <c r="I63" s="215"/>
      <c r="J63" s="112"/>
      <c r="K63" s="215"/>
      <c r="L63" s="115"/>
      <c r="M63" s="112"/>
      <c r="N63" s="112"/>
    </row>
    <row r="64" spans="2:14" s="212" customFormat="1" ht="14.25" customHeight="1" x14ac:dyDescent="0.3">
      <c r="B64" s="213"/>
      <c r="C64" s="213"/>
      <c r="D64" s="214"/>
      <c r="E64" s="112"/>
      <c r="F64" s="113"/>
      <c r="G64" s="112"/>
      <c r="H64" s="215"/>
      <c r="I64" s="215"/>
      <c r="J64" s="112"/>
      <c r="K64" s="215"/>
      <c r="L64" s="115"/>
      <c r="M64" s="112"/>
      <c r="N64" s="112"/>
    </row>
    <row r="65" spans="2:14" s="212" customFormat="1" ht="14.25" customHeight="1" x14ac:dyDescent="0.3">
      <c r="B65" s="213"/>
      <c r="C65" s="213"/>
      <c r="D65" s="214"/>
      <c r="E65" s="112"/>
      <c r="F65" s="113"/>
      <c r="G65" s="112"/>
      <c r="H65" s="215"/>
      <c r="I65" s="215"/>
      <c r="J65" s="112"/>
      <c r="K65" s="215"/>
      <c r="L65" s="115"/>
      <c r="M65" s="112"/>
      <c r="N65" s="112"/>
    </row>
    <row r="66" spans="2:14" s="212" customFormat="1" ht="14.25" customHeight="1" x14ac:dyDescent="0.3">
      <c r="B66" s="213"/>
      <c r="C66" s="213"/>
      <c r="D66" s="214"/>
      <c r="E66" s="112"/>
      <c r="F66" s="113"/>
      <c r="G66" s="112"/>
      <c r="H66" s="215"/>
      <c r="I66" s="215"/>
      <c r="J66" s="112"/>
      <c r="K66" s="215"/>
      <c r="L66" s="115"/>
      <c r="M66" s="112"/>
      <c r="N66" s="112"/>
    </row>
    <row r="67" spans="2:14" s="212" customFormat="1" ht="14.25" customHeight="1" x14ac:dyDescent="0.3">
      <c r="B67" s="213"/>
      <c r="C67" s="213"/>
      <c r="D67" s="214"/>
      <c r="E67" s="112"/>
      <c r="F67" s="113"/>
      <c r="G67" s="112"/>
      <c r="H67" s="215"/>
      <c r="I67" s="215"/>
      <c r="J67" s="112"/>
      <c r="K67" s="215"/>
      <c r="L67" s="115"/>
      <c r="M67" s="112"/>
      <c r="N67" s="112"/>
    </row>
    <row r="68" spans="2:14" s="212" customFormat="1" ht="14.25" customHeight="1" x14ac:dyDescent="0.3">
      <c r="B68" s="213"/>
      <c r="C68" s="213"/>
      <c r="D68" s="214"/>
      <c r="E68" s="112"/>
      <c r="F68" s="113"/>
      <c r="G68" s="112"/>
      <c r="H68" s="215"/>
      <c r="I68" s="215"/>
      <c r="J68" s="112"/>
      <c r="K68" s="215"/>
      <c r="L68" s="115"/>
      <c r="M68" s="112"/>
      <c r="N68" s="112"/>
    </row>
    <row r="69" spans="2:14" s="212" customFormat="1" x14ac:dyDescent="0.3">
      <c r="B69" s="213"/>
      <c r="C69" s="213"/>
      <c r="D69" s="214"/>
      <c r="E69" s="112"/>
      <c r="F69" s="113"/>
      <c r="G69" s="112"/>
      <c r="H69" s="215"/>
      <c r="I69" s="215"/>
      <c r="J69" s="112"/>
      <c r="K69" s="215"/>
      <c r="L69" s="115"/>
      <c r="M69" s="112"/>
      <c r="N69" s="112"/>
    </row>
    <row r="70" spans="2:14" s="212" customFormat="1" x14ac:dyDescent="0.3">
      <c r="B70" s="213"/>
      <c r="C70" s="213"/>
      <c r="D70" s="214"/>
      <c r="E70" s="112"/>
      <c r="F70" s="113"/>
      <c r="G70" s="112"/>
      <c r="H70" s="215"/>
      <c r="I70" s="215"/>
      <c r="J70" s="112"/>
      <c r="K70" s="215"/>
      <c r="L70" s="115"/>
      <c r="M70" s="112"/>
      <c r="N70" s="112"/>
    </row>
    <row r="71" spans="2:14" s="212" customFormat="1" x14ac:dyDescent="0.3">
      <c r="B71" s="213"/>
      <c r="C71" s="213"/>
      <c r="D71" s="214"/>
      <c r="E71" s="112"/>
      <c r="F71" s="113"/>
      <c r="G71" s="112"/>
      <c r="H71" s="215"/>
      <c r="I71" s="215"/>
      <c r="J71" s="112"/>
      <c r="K71" s="215"/>
      <c r="L71" s="115"/>
      <c r="M71" s="112"/>
      <c r="N71" s="112"/>
    </row>
    <row r="72" spans="2:14" s="212" customFormat="1" x14ac:dyDescent="0.3">
      <c r="B72" s="213"/>
      <c r="C72" s="213"/>
      <c r="D72" s="214"/>
      <c r="E72" s="112"/>
      <c r="F72" s="113"/>
      <c r="G72" s="112"/>
      <c r="H72" s="215"/>
      <c r="I72" s="215"/>
      <c r="J72" s="112"/>
      <c r="K72" s="215"/>
      <c r="L72" s="115"/>
      <c r="M72" s="112"/>
      <c r="N72" s="112"/>
    </row>
    <row r="73" spans="2:14" s="212" customFormat="1" x14ac:dyDescent="0.3">
      <c r="B73" s="213"/>
      <c r="C73" s="213"/>
      <c r="D73" s="214"/>
      <c r="E73" s="112"/>
      <c r="F73" s="113"/>
      <c r="G73" s="112"/>
      <c r="H73" s="215"/>
      <c r="I73" s="215"/>
      <c r="J73" s="112"/>
      <c r="K73" s="215"/>
      <c r="L73" s="115"/>
      <c r="M73" s="112"/>
      <c r="N73" s="112"/>
    </row>
    <row r="74" spans="2:14" s="212" customFormat="1" x14ac:dyDescent="0.3">
      <c r="B74" s="213"/>
      <c r="C74" s="213"/>
      <c r="D74" s="214"/>
      <c r="E74" s="112"/>
      <c r="F74" s="113"/>
      <c r="G74" s="112"/>
      <c r="H74" s="215"/>
      <c r="I74" s="215"/>
      <c r="J74" s="112"/>
      <c r="K74" s="215"/>
      <c r="L74" s="115"/>
      <c r="M74" s="112"/>
      <c r="N74" s="112"/>
    </row>
    <row r="75" spans="2:14" s="212" customFormat="1" x14ac:dyDescent="0.3">
      <c r="B75" s="213"/>
      <c r="C75" s="213"/>
      <c r="D75" s="214"/>
      <c r="E75" s="112"/>
      <c r="F75" s="113"/>
      <c r="G75" s="112"/>
      <c r="H75" s="215"/>
      <c r="I75" s="215"/>
      <c r="J75" s="112"/>
      <c r="K75" s="215"/>
      <c r="L75" s="115"/>
      <c r="M75" s="112"/>
      <c r="N75" s="112"/>
    </row>
    <row r="76" spans="2:14" s="212" customFormat="1" x14ac:dyDescent="0.3">
      <c r="B76" s="213"/>
      <c r="C76" s="213"/>
      <c r="D76" s="214"/>
      <c r="E76" s="112"/>
      <c r="F76" s="113"/>
      <c r="G76" s="112"/>
      <c r="H76" s="215"/>
      <c r="I76" s="215"/>
      <c r="J76" s="112"/>
      <c r="K76" s="215"/>
      <c r="L76" s="115"/>
      <c r="M76" s="112"/>
      <c r="N76" s="112"/>
    </row>
    <row r="77" spans="2:14" s="212" customFormat="1" x14ac:dyDescent="0.3">
      <c r="B77" s="213"/>
      <c r="C77" s="213"/>
      <c r="D77" s="214"/>
      <c r="E77" s="112"/>
      <c r="F77" s="113"/>
      <c r="G77" s="112"/>
      <c r="H77" s="215"/>
      <c r="I77" s="215"/>
      <c r="J77" s="112"/>
      <c r="K77" s="215"/>
      <c r="L77" s="115"/>
      <c r="M77" s="112"/>
      <c r="N77" s="112"/>
    </row>
    <row r="78" spans="2:14" s="212" customFormat="1" x14ac:dyDescent="0.3">
      <c r="B78" s="213"/>
      <c r="C78" s="213"/>
      <c r="D78" s="214"/>
      <c r="E78" s="112"/>
      <c r="F78" s="113"/>
      <c r="G78" s="112"/>
      <c r="H78" s="215"/>
      <c r="I78" s="215"/>
      <c r="J78" s="112"/>
      <c r="K78" s="215"/>
      <c r="L78" s="115"/>
      <c r="M78" s="112"/>
      <c r="N78" s="112"/>
    </row>
    <row r="79" spans="2:14" s="212" customFormat="1" x14ac:dyDescent="0.3">
      <c r="B79" s="213"/>
      <c r="C79" s="213"/>
      <c r="D79" s="214"/>
      <c r="E79" s="112"/>
      <c r="F79" s="113"/>
      <c r="G79" s="112"/>
      <c r="H79" s="215"/>
      <c r="I79" s="215"/>
      <c r="J79" s="112"/>
      <c r="K79" s="215"/>
      <c r="L79" s="115"/>
      <c r="M79" s="112"/>
      <c r="N79" s="112"/>
    </row>
    <row r="80" spans="2:14" s="212" customFormat="1" x14ac:dyDescent="0.3">
      <c r="B80" s="213"/>
      <c r="C80" s="213"/>
      <c r="D80" s="214"/>
      <c r="E80" s="112"/>
      <c r="F80" s="113"/>
      <c r="G80" s="112"/>
      <c r="H80" s="215"/>
      <c r="I80" s="215"/>
      <c r="J80" s="112"/>
      <c r="K80" s="215"/>
      <c r="L80" s="115"/>
      <c r="M80" s="112"/>
      <c r="N80" s="112"/>
    </row>
    <row r="81" spans="2:14" s="212" customFormat="1" x14ac:dyDescent="0.3">
      <c r="B81" s="213"/>
      <c r="C81" s="213"/>
      <c r="D81" s="214"/>
      <c r="E81" s="112"/>
      <c r="F81" s="113"/>
      <c r="G81" s="112"/>
      <c r="H81" s="215"/>
      <c r="I81" s="215"/>
      <c r="J81" s="112"/>
      <c r="K81" s="215"/>
      <c r="L81" s="115"/>
      <c r="M81" s="112"/>
      <c r="N81" s="112"/>
    </row>
    <row r="82" spans="2:14" s="212" customFormat="1" x14ac:dyDescent="0.3">
      <c r="B82" s="213"/>
      <c r="C82" s="213"/>
      <c r="D82" s="214"/>
      <c r="E82" s="112"/>
      <c r="F82" s="113"/>
      <c r="G82" s="112"/>
      <c r="H82" s="215"/>
      <c r="I82" s="215"/>
      <c r="J82" s="112"/>
      <c r="K82" s="215"/>
      <c r="L82" s="115"/>
      <c r="M82" s="112"/>
      <c r="N82" s="112"/>
    </row>
    <row r="83" spans="2:14" s="212" customFormat="1" x14ac:dyDescent="0.3">
      <c r="B83" s="213"/>
      <c r="C83" s="213"/>
      <c r="D83" s="214"/>
      <c r="E83" s="112"/>
      <c r="F83" s="113"/>
      <c r="G83" s="112"/>
      <c r="H83" s="215"/>
      <c r="I83" s="215"/>
      <c r="J83" s="112"/>
      <c r="K83" s="215"/>
      <c r="L83" s="115"/>
      <c r="M83" s="112"/>
      <c r="N83" s="112"/>
    </row>
    <row r="84" spans="2:14" s="212" customFormat="1" x14ac:dyDescent="0.3">
      <c r="B84" s="213"/>
      <c r="C84" s="213"/>
      <c r="D84" s="214"/>
      <c r="E84" s="112"/>
      <c r="F84" s="113"/>
      <c r="G84" s="112"/>
      <c r="H84" s="215"/>
      <c r="I84" s="215"/>
      <c r="J84" s="112"/>
      <c r="K84" s="215"/>
      <c r="L84" s="115"/>
      <c r="M84" s="112"/>
      <c r="N84" s="112"/>
    </row>
    <row r="85" spans="2:14" s="212" customFormat="1" x14ac:dyDescent="0.3">
      <c r="B85" s="213"/>
      <c r="C85" s="213"/>
      <c r="D85" s="214"/>
      <c r="E85" s="112"/>
      <c r="F85" s="113"/>
      <c r="G85" s="112"/>
      <c r="H85" s="215"/>
      <c r="I85" s="215"/>
      <c r="J85" s="112"/>
      <c r="K85" s="215"/>
      <c r="L85" s="115"/>
      <c r="M85" s="112"/>
      <c r="N85" s="112"/>
    </row>
    <row r="86" spans="2:14" s="212" customFormat="1" x14ac:dyDescent="0.3">
      <c r="B86" s="213"/>
      <c r="C86" s="213"/>
      <c r="D86" s="214"/>
      <c r="E86" s="112"/>
      <c r="F86" s="113"/>
      <c r="G86" s="112"/>
      <c r="H86" s="215"/>
      <c r="I86" s="215"/>
      <c r="J86" s="112"/>
      <c r="K86" s="215"/>
      <c r="L86" s="115"/>
      <c r="M86" s="112"/>
      <c r="N86" s="112"/>
    </row>
    <row r="87" spans="2:14" s="212" customFormat="1" x14ac:dyDescent="0.3">
      <c r="B87" s="213"/>
      <c r="C87" s="213"/>
      <c r="D87" s="214"/>
      <c r="E87" s="112"/>
      <c r="F87" s="113"/>
      <c r="G87" s="112"/>
      <c r="H87" s="215"/>
      <c r="I87" s="215"/>
      <c r="J87" s="112"/>
      <c r="K87" s="215"/>
      <c r="L87" s="115"/>
      <c r="M87" s="112"/>
      <c r="N87" s="112"/>
    </row>
    <row r="88" spans="2:14" s="212" customFormat="1" x14ac:dyDescent="0.3">
      <c r="B88" s="213"/>
      <c r="C88" s="213"/>
      <c r="D88" s="214"/>
      <c r="E88" s="112"/>
      <c r="F88" s="113"/>
      <c r="G88" s="112"/>
      <c r="H88" s="215"/>
      <c r="I88" s="215"/>
      <c r="J88" s="112"/>
      <c r="K88" s="215"/>
      <c r="L88" s="115"/>
      <c r="M88" s="112"/>
      <c r="N88" s="112"/>
    </row>
    <row r="89" spans="2:14" s="212" customFormat="1" x14ac:dyDescent="0.3">
      <c r="B89" s="213"/>
      <c r="C89" s="213"/>
      <c r="D89" s="214"/>
      <c r="E89" s="112"/>
      <c r="F89" s="113"/>
      <c r="G89" s="112"/>
      <c r="H89" s="215"/>
      <c r="I89" s="215"/>
      <c r="J89" s="112"/>
      <c r="K89" s="215"/>
      <c r="L89" s="115"/>
      <c r="M89" s="112"/>
      <c r="N89" s="112"/>
    </row>
    <row r="90" spans="2:14" s="212" customFormat="1" x14ac:dyDescent="0.3">
      <c r="B90" s="213"/>
      <c r="C90" s="213"/>
      <c r="D90" s="214"/>
      <c r="E90" s="112"/>
      <c r="F90" s="113"/>
      <c r="G90" s="112"/>
      <c r="H90" s="215"/>
      <c r="I90" s="215"/>
      <c r="J90" s="112"/>
      <c r="K90" s="215"/>
      <c r="L90" s="115"/>
      <c r="M90" s="112"/>
      <c r="N90" s="112"/>
    </row>
    <row r="91" spans="2:14" s="212" customFormat="1" x14ac:dyDescent="0.3">
      <c r="B91" s="213"/>
      <c r="C91" s="213"/>
      <c r="D91" s="214"/>
      <c r="E91" s="112"/>
      <c r="F91" s="113"/>
      <c r="G91" s="112"/>
      <c r="H91" s="215"/>
      <c r="I91" s="215"/>
      <c r="J91" s="112"/>
      <c r="K91" s="215"/>
      <c r="L91" s="115"/>
      <c r="M91" s="112"/>
      <c r="N91" s="112"/>
    </row>
    <row r="92" spans="2:14" s="212" customFormat="1" x14ac:dyDescent="0.3">
      <c r="B92" s="213"/>
      <c r="C92" s="213"/>
      <c r="D92" s="214"/>
      <c r="E92" s="112"/>
      <c r="F92" s="113"/>
      <c r="G92" s="112"/>
      <c r="H92" s="215"/>
      <c r="I92" s="215"/>
      <c r="J92" s="112"/>
      <c r="K92" s="215"/>
      <c r="L92" s="115"/>
      <c r="M92" s="112"/>
      <c r="N92" s="112"/>
    </row>
    <row r="93" spans="2:14" s="212" customFormat="1" x14ac:dyDescent="0.3">
      <c r="B93" s="213"/>
      <c r="C93" s="213"/>
      <c r="D93" s="214"/>
      <c r="E93" s="112"/>
      <c r="F93" s="113"/>
      <c r="G93" s="112"/>
      <c r="H93" s="215"/>
      <c r="I93" s="215"/>
      <c r="J93" s="112"/>
      <c r="K93" s="215"/>
      <c r="L93" s="115"/>
      <c r="M93" s="112"/>
      <c r="N93" s="112"/>
    </row>
    <row r="94" spans="2:14" s="212" customFormat="1" x14ac:dyDescent="0.3">
      <c r="B94" s="213"/>
      <c r="C94" s="213"/>
      <c r="D94" s="214"/>
      <c r="E94" s="112"/>
      <c r="F94" s="113"/>
      <c r="G94" s="112"/>
      <c r="H94" s="215"/>
      <c r="I94" s="215"/>
      <c r="J94" s="112"/>
      <c r="K94" s="215"/>
      <c r="L94" s="115"/>
      <c r="M94" s="112"/>
      <c r="N94" s="112"/>
    </row>
    <row r="95" spans="2:14" s="212" customFormat="1" x14ac:dyDescent="0.3">
      <c r="B95" s="213"/>
      <c r="C95" s="213"/>
      <c r="D95" s="214"/>
      <c r="E95" s="112"/>
      <c r="F95" s="113"/>
      <c r="G95" s="112"/>
      <c r="H95" s="215"/>
      <c r="I95" s="215"/>
      <c r="J95" s="112"/>
      <c r="K95" s="215"/>
      <c r="L95" s="115"/>
      <c r="M95" s="112"/>
      <c r="N95" s="112"/>
    </row>
    <row r="96" spans="2:14" s="212" customFormat="1" x14ac:dyDescent="0.3">
      <c r="B96" s="213"/>
      <c r="C96" s="213"/>
      <c r="D96" s="214"/>
      <c r="E96" s="112"/>
      <c r="F96" s="113"/>
      <c r="G96" s="112"/>
      <c r="H96" s="215"/>
      <c r="I96" s="215"/>
      <c r="J96" s="112"/>
      <c r="K96" s="215"/>
      <c r="L96" s="115"/>
      <c r="M96" s="112"/>
      <c r="N96" s="112"/>
    </row>
    <row r="97" spans="2:14" s="212" customFormat="1" x14ac:dyDescent="0.3">
      <c r="B97" s="213"/>
      <c r="C97" s="213"/>
      <c r="D97" s="214"/>
      <c r="E97" s="112"/>
      <c r="F97" s="113"/>
      <c r="G97" s="112"/>
      <c r="H97" s="215"/>
      <c r="I97" s="215"/>
      <c r="J97" s="112"/>
      <c r="K97" s="215"/>
      <c r="L97" s="115"/>
      <c r="M97" s="112"/>
      <c r="N97" s="112"/>
    </row>
    <row r="98" spans="2:14" s="212" customFormat="1" x14ac:dyDescent="0.3">
      <c r="B98" s="213"/>
      <c r="C98" s="213"/>
      <c r="D98" s="214"/>
      <c r="E98" s="112"/>
      <c r="F98" s="113"/>
      <c r="G98" s="112"/>
      <c r="H98" s="215"/>
      <c r="I98" s="215"/>
      <c r="J98" s="112"/>
      <c r="K98" s="215"/>
      <c r="L98" s="115"/>
      <c r="M98" s="112"/>
      <c r="N98" s="112"/>
    </row>
    <row r="99" spans="2:14" s="212" customFormat="1" x14ac:dyDescent="0.3">
      <c r="B99" s="213"/>
      <c r="C99" s="213"/>
      <c r="D99" s="214"/>
      <c r="E99" s="112"/>
      <c r="F99" s="113"/>
      <c r="G99" s="112"/>
      <c r="H99" s="215"/>
      <c r="I99" s="215"/>
      <c r="J99" s="112"/>
      <c r="K99" s="215"/>
      <c r="L99" s="115"/>
      <c r="M99" s="112"/>
      <c r="N99" s="112"/>
    </row>
    <row r="100" spans="2:14" s="212" customFormat="1" x14ac:dyDescent="0.3">
      <c r="B100" s="213"/>
      <c r="C100" s="213"/>
      <c r="D100" s="214"/>
      <c r="E100" s="112"/>
      <c r="F100" s="113"/>
      <c r="G100" s="112"/>
      <c r="H100" s="215"/>
      <c r="I100" s="215"/>
      <c r="J100" s="112"/>
      <c r="K100" s="215"/>
      <c r="L100" s="115"/>
      <c r="M100" s="112"/>
      <c r="N100" s="112"/>
    </row>
    <row r="101" spans="2:14" s="212" customFormat="1" x14ac:dyDescent="0.3">
      <c r="B101" s="213"/>
      <c r="C101" s="213"/>
      <c r="D101" s="214"/>
      <c r="E101" s="112"/>
      <c r="F101" s="113"/>
      <c r="G101" s="112"/>
      <c r="H101" s="215"/>
      <c r="I101" s="215"/>
      <c r="J101" s="112"/>
      <c r="K101" s="215"/>
      <c r="L101" s="115"/>
      <c r="M101" s="112"/>
      <c r="N101" s="112"/>
    </row>
    <row r="102" spans="2:14" s="212" customFormat="1" x14ac:dyDescent="0.3">
      <c r="B102" s="213"/>
      <c r="C102" s="213"/>
      <c r="D102" s="214"/>
      <c r="E102" s="112"/>
      <c r="F102" s="113"/>
      <c r="G102" s="112"/>
      <c r="H102" s="215"/>
      <c r="I102" s="215"/>
      <c r="J102" s="112"/>
      <c r="K102" s="215"/>
      <c r="L102" s="115"/>
      <c r="M102" s="112"/>
      <c r="N102" s="112"/>
    </row>
    <row r="104" spans="2:14" s="132" customFormat="1" ht="15" x14ac:dyDescent="0.3">
      <c r="B104" s="223"/>
      <c r="C104" s="223"/>
      <c r="D104" s="224"/>
      <c r="E104" s="225"/>
      <c r="F104" s="226"/>
      <c r="G104" s="225"/>
      <c r="H104" s="227"/>
      <c r="I104" s="227"/>
      <c r="J104" s="225"/>
      <c r="K104" s="227"/>
      <c r="L104" s="167"/>
      <c r="M104" s="225"/>
      <c r="N104" s="225"/>
    </row>
    <row r="105" spans="2:14" s="234" customFormat="1" x14ac:dyDescent="0.3">
      <c r="B105" s="228"/>
      <c r="C105" s="228"/>
      <c r="D105" s="229"/>
      <c r="E105" s="230"/>
      <c r="F105" s="231"/>
      <c r="G105" s="230"/>
      <c r="H105" s="232"/>
      <c r="I105" s="232"/>
      <c r="J105" s="230"/>
      <c r="K105" s="232"/>
      <c r="L105" s="233"/>
      <c r="M105" s="230"/>
      <c r="N105" s="230"/>
    </row>
  </sheetData>
  <mergeCells count="1">
    <mergeCell ref="E4:H4"/>
  </mergeCells>
  <pageMargins left="0.70866141732283472" right="0.70866141732283472" top="0.74803149606299213" bottom="0.74803149606299213" header="0.31496062992125984" footer="0.31496062992125984"/>
  <pageSetup scale="68" orientation="portrait" r:id="rId1"/>
  <drawing r:id="rId2"/>
  <legacyDrawing r:id="rId3"/>
  <oleObjects>
    <mc:AlternateContent xmlns:mc="http://schemas.openxmlformats.org/markup-compatibility/2006">
      <mc:Choice Requires="x14">
        <oleObject progId="AutoCAD.Drawing.17" shapeId="13313" r:id="rId4">
          <objectPr defaultSize="0" autoPict="0" r:id="rId5">
            <anchor moveWithCells="1">
              <from>
                <xdr:col>6</xdr:col>
                <xdr:colOff>95250</xdr:colOff>
                <xdr:row>14</xdr:row>
                <xdr:rowOff>180975</xdr:rowOff>
              </from>
              <to>
                <xdr:col>13</xdr:col>
                <xdr:colOff>638175</xdr:colOff>
                <xdr:row>23</xdr:row>
                <xdr:rowOff>200025</xdr:rowOff>
              </to>
            </anchor>
          </objectPr>
        </oleObject>
      </mc:Choice>
      <mc:Fallback>
        <oleObject progId="AutoCAD.Drawing.17" shapeId="13313"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TABLAS</vt:lpstr>
      <vt:lpstr>ÍNDICE</vt:lpstr>
      <vt:lpstr>VOL. TANQUE (UNICO)</vt:lpstr>
      <vt:lpstr>RUTA CRÍTICA</vt:lpstr>
      <vt:lpstr>C.D.T.</vt:lpstr>
      <vt:lpstr>RUTA CRÍTICA (REG)</vt:lpstr>
      <vt:lpstr>VRP CTO BOMBAS</vt:lpstr>
      <vt:lpstr>ÍNDICE!_Toc333269347</vt:lpstr>
      <vt:lpstr>C.D.T.!Área_de_impresión</vt:lpstr>
      <vt:lpstr>ÍNDICE!Área_de_impresión</vt:lpstr>
      <vt:lpstr>'RUTA CRÍTICA'!Área_de_impresión</vt:lpstr>
      <vt:lpstr>'RUTA CRÍTICA (REG)'!Área_de_impresión</vt:lpstr>
      <vt:lpstr>'VOL. TANQUE (UNICO)'!Área_de_impresión</vt:lpstr>
      <vt:lpstr>'VRP CTO BOMBAS'!Área_de_impresión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ROCH</dc:creator>
  <cp:lastModifiedBy>ROCH</cp:lastModifiedBy>
  <cp:lastPrinted>2021-07-06T23:37:25Z</cp:lastPrinted>
  <dcterms:created xsi:type="dcterms:W3CDTF">2015-06-03T17:13:54Z</dcterms:created>
  <dcterms:modified xsi:type="dcterms:W3CDTF">2022-01-29T02:17:06Z</dcterms:modified>
</cp:coreProperties>
</file>